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705" yWindow="-15" windowWidth="9525" windowHeight="9435" tabRatio="885" firstSheet="25" activeTab="36"/>
  </bookViews>
  <sheets>
    <sheet name="Cover Page" sheetId="55" r:id="rId1"/>
    <sheet name="Contents" sheetId="56" r:id="rId2"/>
    <sheet name="Table IA" sheetId="1" r:id="rId3"/>
    <sheet name="Table IB" sheetId="2" r:id="rId4"/>
    <sheet name="TableIIA" sheetId="3" r:id="rId5"/>
    <sheet name="TableIIB" sheetId="35" r:id="rId6"/>
    <sheet name="TableIIC " sheetId="4" r:id="rId7"/>
    <sheet name="Table IID" sheetId="51" r:id="rId8"/>
    <sheet name="Table IIE" sheetId="5" r:id="rId9"/>
    <sheet name="Table IIF" sheetId="36" r:id="rId10"/>
    <sheet name="Table IIG" sheetId="59" r:id="rId11"/>
    <sheet name="Table III A" sheetId="6" r:id="rId12"/>
    <sheet name="Table IIIB" sheetId="50" r:id="rId13"/>
    <sheet name="Table IV" sheetId="7" r:id="rId14"/>
    <sheet name="Table V" sheetId="8" r:id="rId15"/>
    <sheet name="Table VI" sheetId="10" r:id="rId16"/>
    <sheet name="Table VII" sheetId="11" r:id="rId17"/>
    <sheet name="Table VIII" sheetId="13" r:id="rId18"/>
    <sheet name="TableIXA" sheetId="37" r:id="rId19"/>
    <sheet name="TableIXB" sheetId="38" r:id="rId20"/>
    <sheet name="TableIXC" sheetId="39" r:id="rId21"/>
    <sheet name="TableX" sheetId="40" r:id="rId22"/>
    <sheet name="TableXI" sheetId="41" r:id="rId23"/>
    <sheet name="Table XIIA" sheetId="57" r:id="rId24"/>
    <sheet name="Table XIIB" sheetId="21" r:id="rId25"/>
    <sheet name="TableXIII" sheetId="42" r:id="rId26"/>
    <sheet name="Table XIV" sheetId="53" r:id="rId27"/>
    <sheet name="TableXV" sheetId="43" r:id="rId28"/>
    <sheet name="TableXVI" sheetId="44" r:id="rId29"/>
    <sheet name="Table XVII" sheetId="27" r:id="rId30"/>
    <sheet name="Table XVIII" sheetId="28" r:id="rId31"/>
    <sheet name="TableXIX" sheetId="45" r:id="rId32"/>
    <sheet name="TableXX" sheetId="58" r:id="rId33"/>
    <sheet name="TableXXI" sheetId="47" r:id="rId34"/>
    <sheet name="Table XXII" sheetId="32" r:id="rId35"/>
    <sheet name="Table XXIII" sheetId="33" r:id="rId36"/>
    <sheet name="Table XXIV" sheetId="61" r:id="rId37"/>
    <sheet name="Table XXV" sheetId="60" r:id="rId38"/>
    <sheet name="Table XXVI" sheetId="63" r:id="rId39"/>
    <sheet name="Table XXVII" sheetId="62" r:id="rId40"/>
    <sheet name="Appendix- Weights &amp; Measures" sheetId="52" r:id="rId41"/>
  </sheets>
  <definedNames>
    <definedName name="_xlnm._FilterDatabase" localSheetId="2" hidden="1">'Table IA'!#REF!</definedName>
    <definedName name="_xlnm._FilterDatabase" localSheetId="3" hidden="1">'Table IB'!$C$1:$C$78</definedName>
    <definedName name="ReportLinkMenu" localSheetId="27">TableXV!#REF!</definedName>
    <definedName name="SectionElements" localSheetId="27">TableXV!#REF!</definedName>
  </definedNames>
  <calcPr calcId="124519"/>
  <fileRecoveryPr autoRecover="0"/>
</workbook>
</file>

<file path=xl/calcChain.xml><?xml version="1.0" encoding="utf-8"?>
<calcChain xmlns="http://schemas.openxmlformats.org/spreadsheetml/2006/main">
  <c r="U48" i="6"/>
  <c r="V48" s="1"/>
  <c r="M48"/>
  <c r="N48" s="1"/>
  <c r="J48"/>
  <c r="G48"/>
  <c r="D48"/>
  <c r="Q39" i="11"/>
  <c r="P39"/>
  <c r="O39"/>
  <c r="N39"/>
  <c r="M39"/>
  <c r="L39"/>
  <c r="K39"/>
  <c r="J39"/>
  <c r="I39"/>
  <c r="H39"/>
  <c r="G39"/>
  <c r="F39"/>
  <c r="E39"/>
  <c r="D39"/>
  <c r="C39"/>
  <c r="B39"/>
  <c r="B42" i="2"/>
  <c r="D42"/>
  <c r="E41" i="13" l="1"/>
  <c r="E39" i="40" l="1"/>
  <c r="D39"/>
  <c r="C39"/>
  <c r="B39"/>
  <c r="Q40" i="41"/>
  <c r="L40"/>
  <c r="M40"/>
  <c r="N40"/>
  <c r="O40"/>
  <c r="P40"/>
  <c r="K40"/>
  <c r="C40"/>
  <c r="D40"/>
  <c r="E40"/>
  <c r="F40"/>
  <c r="G40"/>
  <c r="H40"/>
  <c r="I40"/>
  <c r="J40"/>
  <c r="B40"/>
  <c r="Q52"/>
  <c r="P52"/>
  <c r="E51" i="40" l="1"/>
  <c r="D51"/>
  <c r="D50"/>
  <c r="B39" i="28"/>
  <c r="L53" i="7"/>
  <c r="L52" l="1"/>
  <c r="B29" i="58" l="1"/>
  <c r="AC41" i="43"/>
  <c r="AD41"/>
  <c r="AE41"/>
  <c r="AF41"/>
  <c r="AG41"/>
  <c r="AH41"/>
  <c r="AI41"/>
  <c r="AJ41"/>
  <c r="AK41"/>
  <c r="AL41"/>
  <c r="AM41"/>
  <c r="AB41"/>
  <c r="P41"/>
  <c r="Q41"/>
  <c r="R41"/>
  <c r="S41"/>
  <c r="T41"/>
  <c r="U41"/>
  <c r="V41"/>
  <c r="W41"/>
  <c r="X41"/>
  <c r="Y41"/>
  <c r="Z41"/>
  <c r="O41"/>
  <c r="C41"/>
  <c r="D41"/>
  <c r="E41"/>
  <c r="F41"/>
  <c r="G41"/>
  <c r="H41"/>
  <c r="I41"/>
  <c r="J41"/>
  <c r="K41"/>
  <c r="L41"/>
  <c r="M41"/>
  <c r="B41"/>
  <c r="O42" i="2" l="1"/>
  <c r="C39" i="45"/>
  <c r="D39"/>
  <c r="E39"/>
  <c r="F39"/>
  <c r="G39"/>
  <c r="H39"/>
  <c r="I39"/>
  <c r="J39"/>
  <c r="K39"/>
  <c r="L39"/>
  <c r="M39"/>
  <c r="N39"/>
  <c r="O39"/>
  <c r="P39"/>
  <c r="Q39"/>
  <c r="R39"/>
  <c r="S39"/>
  <c r="T39"/>
  <c r="B39"/>
  <c r="U39" s="1"/>
  <c r="F53" i="7"/>
  <c r="K53" s="1"/>
  <c r="K42" i="2"/>
  <c r="F54" i="5"/>
  <c r="I54" s="1"/>
  <c r="M54"/>
  <c r="J54"/>
  <c r="L54" s="1"/>
  <c r="O54"/>
  <c r="B54"/>
  <c r="E54" s="1"/>
  <c r="BW42" i="58"/>
  <c r="BU42"/>
  <c r="BS42"/>
  <c r="BQ42"/>
  <c r="BO42"/>
  <c r="BM42"/>
  <c r="BK42"/>
  <c r="BH42"/>
  <c r="BF42"/>
  <c r="BD42"/>
  <c r="BB42"/>
  <c r="AZ42"/>
  <c r="AX42"/>
  <c r="AV42"/>
  <c r="AS42"/>
  <c r="AQ42"/>
  <c r="AO42"/>
  <c r="AM42"/>
  <c r="AK42"/>
  <c r="AI42"/>
  <c r="AG42"/>
  <c r="AD42"/>
  <c r="AB42"/>
  <c r="Z42"/>
  <c r="X42"/>
  <c r="V42"/>
  <c r="T42"/>
  <c r="R42"/>
  <c r="O42"/>
  <c r="M42"/>
  <c r="K42"/>
  <c r="I42"/>
  <c r="G42"/>
  <c r="E42"/>
  <c r="C42"/>
  <c r="D39" i="28"/>
  <c r="C39"/>
  <c r="K52" i="36"/>
  <c r="I52"/>
  <c r="F52"/>
  <c r="P54" i="5" l="1"/>
  <c r="R54" s="1"/>
  <c r="S54" s="1"/>
  <c r="CD53" i="1"/>
  <c r="F52" i="35"/>
  <c r="K52" s="1"/>
  <c r="J52" i="33"/>
  <c r="K52" s="1"/>
  <c r="J48"/>
  <c r="L43" i="61"/>
  <c r="AS7" i="57" l="1"/>
  <c r="R36"/>
  <c r="I16"/>
  <c r="U50" i="45" l="1"/>
  <c r="U51"/>
  <c r="O53" i="7" l="1"/>
  <c r="AN53" s="1"/>
  <c r="AO53" s="1"/>
  <c r="AM53"/>
  <c r="G54" i="51" l="1"/>
  <c r="I54" s="1"/>
  <c r="J54" s="1"/>
  <c r="K55" i="3" l="1"/>
  <c r="J55"/>
  <c r="G55"/>
  <c r="L55" s="1"/>
  <c r="N55" s="1"/>
  <c r="D55"/>
  <c r="G54" i="4"/>
  <c r="M42" i="2"/>
  <c r="BA53" i="1"/>
  <c r="CA53"/>
  <c r="O55" i="3" l="1"/>
  <c r="BH53" i="1"/>
  <c r="AV53"/>
  <c r="BU53" s="1"/>
  <c r="AL53"/>
  <c r="AO53"/>
  <c r="AN53"/>
  <c r="AM53"/>
  <c r="AH53"/>
  <c r="AD53"/>
  <c r="AX53" l="1"/>
  <c r="BW53"/>
  <c r="AP53"/>
  <c r="S53"/>
  <c r="T53" s="1"/>
  <c r="L53"/>
  <c r="BC53" s="1"/>
  <c r="BT53" l="1"/>
  <c r="BV53"/>
  <c r="N53"/>
  <c r="W53" s="1"/>
  <c r="X53" s="1"/>
  <c r="U47" i="6"/>
  <c r="M47"/>
  <c r="J47"/>
  <c r="G47"/>
  <c r="D47"/>
  <c r="N47" l="1"/>
  <c r="V47"/>
  <c r="M53" i="5"/>
  <c r="O53" s="1"/>
  <c r="J53"/>
  <c r="L53" s="1"/>
  <c r="F53"/>
  <c r="I53" s="1"/>
  <c r="B53"/>
  <c r="E53" s="1"/>
  <c r="P51" i="41"/>
  <c r="Q51" s="1"/>
  <c r="E50" i="40"/>
  <c r="I51" i="36"/>
  <c r="F51"/>
  <c r="K51" l="1"/>
  <c r="P53" i="5"/>
  <c r="R53" s="1"/>
  <c r="S53" s="1"/>
  <c r="I51" i="35"/>
  <c r="F51"/>
  <c r="K51" s="1"/>
  <c r="CD52" i="1" l="1"/>
  <c r="CA52"/>
  <c r="BH52"/>
  <c r="BA52"/>
  <c r="AV52"/>
  <c r="AX52" s="1"/>
  <c r="AO52"/>
  <c r="AN52"/>
  <c r="AM52"/>
  <c r="AL52"/>
  <c r="AH52"/>
  <c r="AD52"/>
  <c r="T52"/>
  <c r="S52"/>
  <c r="L52"/>
  <c r="N52" s="1"/>
  <c r="W52" s="1"/>
  <c r="X52" s="1"/>
  <c r="CD51"/>
  <c r="CA51"/>
  <c r="BH51"/>
  <c r="BA51"/>
  <c r="AV51"/>
  <c r="AX51" s="1"/>
  <c r="AY53" s="1"/>
  <c r="AZ53" s="1"/>
  <c r="AO51"/>
  <c r="AN51"/>
  <c r="AM51"/>
  <c r="AL51"/>
  <c r="AH51"/>
  <c r="AD51"/>
  <c r="S51"/>
  <c r="T51" s="1"/>
  <c r="L51"/>
  <c r="N51" s="1"/>
  <c r="W51" s="1"/>
  <c r="X51" s="1"/>
  <c r="CD50"/>
  <c r="CA50"/>
  <c r="BH50"/>
  <c r="BA50"/>
  <c r="AV50"/>
  <c r="AX50" s="1"/>
  <c r="AY52" s="1"/>
  <c r="AO50"/>
  <c r="AN50"/>
  <c r="AM50"/>
  <c r="AL50"/>
  <c r="AH50"/>
  <c r="AD50"/>
  <c r="S50"/>
  <c r="T50" s="1"/>
  <c r="L50"/>
  <c r="N50" s="1"/>
  <c r="W50" s="1"/>
  <c r="X50" s="1"/>
  <c r="CD49"/>
  <c r="CA49"/>
  <c r="BU49"/>
  <c r="BH49"/>
  <c r="BA49"/>
  <c r="AV49"/>
  <c r="AX49" s="1"/>
  <c r="AY51" s="1"/>
  <c r="AO49"/>
  <c r="AN49"/>
  <c r="AM49"/>
  <c r="AL49"/>
  <c r="AH49"/>
  <c r="AD49"/>
  <c r="S49"/>
  <c r="T49" s="1"/>
  <c r="L49"/>
  <c r="N49" s="1"/>
  <c r="W49" s="1"/>
  <c r="X49" s="1"/>
  <c r="CD48"/>
  <c r="CA48"/>
  <c r="BH48"/>
  <c r="BA48"/>
  <c r="AV48"/>
  <c r="AX48" s="1"/>
  <c r="AY50" s="1"/>
  <c r="AO48"/>
  <c r="AN48"/>
  <c r="AM48"/>
  <c r="AL48"/>
  <c r="AH48"/>
  <c r="AD48"/>
  <c r="S48"/>
  <c r="T48" s="1"/>
  <c r="L48"/>
  <c r="BC48" s="1"/>
  <c r="CD47"/>
  <c r="CA47"/>
  <c r="BH47"/>
  <c r="BA47"/>
  <c r="BC47" s="1"/>
  <c r="AV47"/>
  <c r="BU47" s="1"/>
  <c r="AO47"/>
  <c r="AN47"/>
  <c r="AM47"/>
  <c r="AL47"/>
  <c r="AH47"/>
  <c r="AD47"/>
  <c r="S47"/>
  <c r="T47" s="1"/>
  <c r="N47"/>
  <c r="W47" s="1"/>
  <c r="X47" s="1"/>
  <c r="L47"/>
  <c r="CD46"/>
  <c r="CA46"/>
  <c r="BH46"/>
  <c r="BA46"/>
  <c r="AV46"/>
  <c r="AX46" s="1"/>
  <c r="AY48" s="1"/>
  <c r="AZ48" s="1"/>
  <c r="AO46"/>
  <c r="AN46"/>
  <c r="AM46"/>
  <c r="AL46"/>
  <c r="AH46"/>
  <c r="AD46"/>
  <c r="S46"/>
  <c r="T46" s="1"/>
  <c r="L46"/>
  <c r="N46" s="1"/>
  <c r="W46" s="1"/>
  <c r="X46" s="1"/>
  <c r="CD45"/>
  <c r="CA45"/>
  <c r="BH45"/>
  <c r="BA45"/>
  <c r="AV45"/>
  <c r="AX45" s="1"/>
  <c r="AY47" s="1"/>
  <c r="AO45"/>
  <c r="AN45"/>
  <c r="AM45"/>
  <c r="AL45"/>
  <c r="AH45"/>
  <c r="AD45"/>
  <c r="S45"/>
  <c r="T45" s="1"/>
  <c r="N45"/>
  <c r="W45" s="1"/>
  <c r="X45" s="1"/>
  <c r="L45"/>
  <c r="BC45" s="1"/>
  <c r="CD44"/>
  <c r="CA44"/>
  <c r="BH44"/>
  <c r="BA44"/>
  <c r="AV44"/>
  <c r="AX44" s="1"/>
  <c r="AY46" s="1"/>
  <c r="AO44"/>
  <c r="AN44"/>
  <c r="AM44"/>
  <c r="AL44"/>
  <c r="AH44"/>
  <c r="AD44"/>
  <c r="S44"/>
  <c r="T44" s="1"/>
  <c r="L44"/>
  <c r="N44" s="1"/>
  <c r="W44" s="1"/>
  <c r="X44" s="1"/>
  <c r="CD43"/>
  <c r="CA43"/>
  <c r="BH43"/>
  <c r="BA43"/>
  <c r="BW43" s="1"/>
  <c r="AV43"/>
  <c r="AX43" s="1"/>
  <c r="AY45" s="1"/>
  <c r="AO43"/>
  <c r="AN43"/>
  <c r="AM43"/>
  <c r="AL43"/>
  <c r="AP43" s="1"/>
  <c r="BT43" s="1"/>
  <c r="AH43"/>
  <c r="AD43"/>
  <c r="S43"/>
  <c r="T43" s="1"/>
  <c r="L43"/>
  <c r="N43" s="1"/>
  <c r="W43" s="1"/>
  <c r="X43" s="1"/>
  <c r="CD41"/>
  <c r="CA41"/>
  <c r="CA29" s="1"/>
  <c r="BH41"/>
  <c r="BA41"/>
  <c r="BA29" s="1"/>
  <c r="AV41"/>
  <c r="AX41" s="1"/>
  <c r="AO41"/>
  <c r="AN41"/>
  <c r="AM41"/>
  <c r="AM29" s="1"/>
  <c r="AL41"/>
  <c r="AH41"/>
  <c r="AH29" s="1"/>
  <c r="AD41"/>
  <c r="S41"/>
  <c r="T41" s="1"/>
  <c r="T29" s="1"/>
  <c r="L41"/>
  <c r="CD40"/>
  <c r="CA40"/>
  <c r="BH40"/>
  <c r="BA40"/>
  <c r="AV40"/>
  <c r="BU40" s="1"/>
  <c r="AO40"/>
  <c r="AN40"/>
  <c r="AM40"/>
  <c r="AL40"/>
  <c r="AH40"/>
  <c r="AD40"/>
  <c r="AP40" s="1"/>
  <c r="S40"/>
  <c r="T40" s="1"/>
  <c r="L40"/>
  <c r="N40" s="1"/>
  <c r="W40" s="1"/>
  <c r="X40" s="1"/>
  <c r="CD39"/>
  <c r="CA39"/>
  <c r="BH39"/>
  <c r="BA39"/>
  <c r="AV39"/>
  <c r="AX39" s="1"/>
  <c r="AY41" s="1"/>
  <c r="AZ41" s="1"/>
  <c r="AZ29" s="1"/>
  <c r="AO39"/>
  <c r="AN39"/>
  <c r="AM39"/>
  <c r="AL39"/>
  <c r="AH39"/>
  <c r="AD39"/>
  <c r="S39"/>
  <c r="T39" s="1"/>
  <c r="L39"/>
  <c r="N39" s="1"/>
  <c r="W39" s="1"/>
  <c r="X39" s="1"/>
  <c r="CD38"/>
  <c r="CA38"/>
  <c r="BH38"/>
  <c r="BA38"/>
  <c r="BW38" s="1"/>
  <c r="AV38"/>
  <c r="AX38" s="1"/>
  <c r="AY40" s="1"/>
  <c r="AO38"/>
  <c r="AN38"/>
  <c r="AM38"/>
  <c r="AL38"/>
  <c r="AH38"/>
  <c r="AD38"/>
  <c r="T38"/>
  <c r="S38"/>
  <c r="L38"/>
  <c r="CD37"/>
  <c r="CA37"/>
  <c r="BH37"/>
  <c r="BA37"/>
  <c r="AV37"/>
  <c r="AX37" s="1"/>
  <c r="AY39" s="1"/>
  <c r="AO37"/>
  <c r="AN37"/>
  <c r="AM37"/>
  <c r="AL37"/>
  <c r="AH37"/>
  <c r="AD37"/>
  <c r="S37"/>
  <c r="T37" s="1"/>
  <c r="L37"/>
  <c r="N37" s="1"/>
  <c r="W37" s="1"/>
  <c r="X37" s="1"/>
  <c r="CD36"/>
  <c r="CA36"/>
  <c r="BW36"/>
  <c r="BH36"/>
  <c r="BA36"/>
  <c r="AV36"/>
  <c r="AX36" s="1"/>
  <c r="AY38" s="1"/>
  <c r="AO36"/>
  <c r="AN36"/>
  <c r="AM36"/>
  <c r="AL36"/>
  <c r="AH36"/>
  <c r="AD36"/>
  <c r="S36"/>
  <c r="T36" s="1"/>
  <c r="L36"/>
  <c r="N36" s="1"/>
  <c r="W36" s="1"/>
  <c r="X36" s="1"/>
  <c r="CD35"/>
  <c r="CA35"/>
  <c r="BH35"/>
  <c r="BA35"/>
  <c r="AV35"/>
  <c r="AX35" s="1"/>
  <c r="AY37" s="1"/>
  <c r="AO35"/>
  <c r="AN35"/>
  <c r="AM35"/>
  <c r="AL35"/>
  <c r="AH35"/>
  <c r="AP35" s="1"/>
  <c r="BT35" s="1"/>
  <c r="AD35"/>
  <c r="S35"/>
  <c r="T35" s="1"/>
  <c r="L35"/>
  <c r="BC35" s="1"/>
  <c r="CD34"/>
  <c r="CA34"/>
  <c r="BH34"/>
  <c r="BA34"/>
  <c r="BC34" s="1"/>
  <c r="AV34"/>
  <c r="BU34" s="1"/>
  <c r="AO34"/>
  <c r="AN34"/>
  <c r="AM34"/>
  <c r="AL34"/>
  <c r="AH34"/>
  <c r="AD34"/>
  <c r="S34"/>
  <c r="T34" s="1"/>
  <c r="N34"/>
  <c r="W34" s="1"/>
  <c r="X34" s="1"/>
  <c r="L34"/>
  <c r="CD33"/>
  <c r="CA33"/>
  <c r="BH33"/>
  <c r="BA33"/>
  <c r="AV33"/>
  <c r="BU33" s="1"/>
  <c r="AO33"/>
  <c r="AN33"/>
  <c r="AM33"/>
  <c r="AL33"/>
  <c r="AH33"/>
  <c r="AD33"/>
  <c r="S33"/>
  <c r="T33" s="1"/>
  <c r="L33"/>
  <c r="N33" s="1"/>
  <c r="W33" s="1"/>
  <c r="X33" s="1"/>
  <c r="CD32"/>
  <c r="CA32"/>
  <c r="BH32"/>
  <c r="BA32"/>
  <c r="AV32"/>
  <c r="AX32" s="1"/>
  <c r="AY34" s="1"/>
  <c r="AO32"/>
  <c r="AN32"/>
  <c r="AM32"/>
  <c r="AL32"/>
  <c r="AH32"/>
  <c r="AD32"/>
  <c r="S32"/>
  <c r="T32" s="1"/>
  <c r="N32"/>
  <c r="W32" s="1"/>
  <c r="X32" s="1"/>
  <c r="L32"/>
  <c r="CD31"/>
  <c r="CA31"/>
  <c r="BH31"/>
  <c r="BA31"/>
  <c r="BW31" s="1"/>
  <c r="AV31"/>
  <c r="AX31" s="1"/>
  <c r="AY33" s="1"/>
  <c r="AO31"/>
  <c r="AN31"/>
  <c r="AM31"/>
  <c r="AL31"/>
  <c r="AH31"/>
  <c r="AD31"/>
  <c r="S31"/>
  <c r="T31" s="1"/>
  <c r="L31"/>
  <c r="N31" s="1"/>
  <c r="W31" s="1"/>
  <c r="X31" s="1"/>
  <c r="CD30"/>
  <c r="CA30"/>
  <c r="BH30"/>
  <c r="BA30"/>
  <c r="BW30" s="1"/>
  <c r="AV30"/>
  <c r="AX30" s="1"/>
  <c r="AY32" s="1"/>
  <c r="AO30"/>
  <c r="AN30"/>
  <c r="AM30"/>
  <c r="AL30"/>
  <c r="AH30"/>
  <c r="AD30"/>
  <c r="AP30" s="1"/>
  <c r="BV30" s="1"/>
  <c r="S30"/>
  <c r="T30" s="1"/>
  <c r="L30"/>
  <c r="N30" s="1"/>
  <c r="W30" s="1"/>
  <c r="X30" s="1"/>
  <c r="CD29"/>
  <c r="CC29"/>
  <c r="CB29"/>
  <c r="BZ29"/>
  <c r="BY29"/>
  <c r="BX29"/>
  <c r="BS29"/>
  <c r="BR29"/>
  <c r="BN29"/>
  <c r="BM29"/>
  <c r="BL29"/>
  <c r="BK29"/>
  <c r="BJ29"/>
  <c r="BH29"/>
  <c r="BG29"/>
  <c r="BF29"/>
  <c r="BE29"/>
  <c r="BD29"/>
  <c r="BB29"/>
  <c r="AW29"/>
  <c r="AU29"/>
  <c r="AT29"/>
  <c r="AS29"/>
  <c r="AR29"/>
  <c r="AO29"/>
  <c r="AN29"/>
  <c r="AL29"/>
  <c r="AK29"/>
  <c r="AJ29"/>
  <c r="AI29"/>
  <c r="AG29"/>
  <c r="AF29"/>
  <c r="AE29"/>
  <c r="AD29"/>
  <c r="AC29"/>
  <c r="AB29"/>
  <c r="AA29"/>
  <c r="U29"/>
  <c r="R29"/>
  <c r="Q29"/>
  <c r="P29"/>
  <c r="O29"/>
  <c r="M29"/>
  <c r="K29"/>
  <c r="J29"/>
  <c r="CD28"/>
  <c r="CA28"/>
  <c r="CA16" s="1"/>
  <c r="BH28"/>
  <c r="BA28"/>
  <c r="BW28" s="1"/>
  <c r="BW16" s="1"/>
  <c r="AV28"/>
  <c r="BU28" s="1"/>
  <c r="BU16" s="1"/>
  <c r="AO28"/>
  <c r="AN28"/>
  <c r="AN16" s="1"/>
  <c r="AM28"/>
  <c r="AM16" s="1"/>
  <c r="AL28"/>
  <c r="AL16" s="1"/>
  <c r="AH28"/>
  <c r="AD28"/>
  <c r="AP28" s="1"/>
  <c r="S28"/>
  <c r="T28" s="1"/>
  <c r="T16" s="1"/>
  <c r="L28"/>
  <c r="L16" s="1"/>
  <c r="CD27"/>
  <c r="CA27"/>
  <c r="BH27"/>
  <c r="BA27"/>
  <c r="AV27"/>
  <c r="BU27" s="1"/>
  <c r="AO27"/>
  <c r="AN27"/>
  <c r="AM27"/>
  <c r="AL27"/>
  <c r="AH27"/>
  <c r="AD27"/>
  <c r="S27"/>
  <c r="T27" s="1"/>
  <c r="L27"/>
  <c r="N27" s="1"/>
  <c r="W27" s="1"/>
  <c r="X27" s="1"/>
  <c r="CD26"/>
  <c r="CA26"/>
  <c r="BH26"/>
  <c r="BA26"/>
  <c r="AV26"/>
  <c r="AX26" s="1"/>
  <c r="AY28" s="1"/>
  <c r="AY16" s="1"/>
  <c r="AO26"/>
  <c r="AN26"/>
  <c r="AM26"/>
  <c r="AL26"/>
  <c r="AH26"/>
  <c r="AD26"/>
  <c r="S26"/>
  <c r="T26" s="1"/>
  <c r="L26"/>
  <c r="N26" s="1"/>
  <c r="W26" s="1"/>
  <c r="X26" s="1"/>
  <c r="CD25"/>
  <c r="CA25"/>
  <c r="BH25"/>
  <c r="BA25"/>
  <c r="AV25"/>
  <c r="AX25" s="1"/>
  <c r="AY27" s="1"/>
  <c r="AO25"/>
  <c r="AN25"/>
  <c r="AM25"/>
  <c r="AL25"/>
  <c r="AH25"/>
  <c r="AD25"/>
  <c r="S25"/>
  <c r="T25" s="1"/>
  <c r="L25"/>
  <c r="N25" s="1"/>
  <c r="W25" s="1"/>
  <c r="X25" s="1"/>
  <c r="CD24"/>
  <c r="CA24"/>
  <c r="BH24"/>
  <c r="BA24"/>
  <c r="AV24"/>
  <c r="BU24" s="1"/>
  <c r="AO24"/>
  <c r="AN24"/>
  <c r="AM24"/>
  <c r="AL24"/>
  <c r="AH24"/>
  <c r="AD24"/>
  <c r="S24"/>
  <c r="T24" s="1"/>
  <c r="L24"/>
  <c r="CD23"/>
  <c r="CA23"/>
  <c r="BH23"/>
  <c r="BA23"/>
  <c r="AV23"/>
  <c r="BU23" s="1"/>
  <c r="AO23"/>
  <c r="AN23"/>
  <c r="AM23"/>
  <c r="AL23"/>
  <c r="AH23"/>
  <c r="AD23"/>
  <c r="S23"/>
  <c r="T23" s="1"/>
  <c r="N23"/>
  <c r="W23" s="1"/>
  <c r="X23" s="1"/>
  <c r="L23"/>
  <c r="CD22"/>
  <c r="CA22"/>
  <c r="BH22"/>
  <c r="BA22"/>
  <c r="AV22"/>
  <c r="BU22" s="1"/>
  <c r="AO22"/>
  <c r="AN22"/>
  <c r="AM22"/>
  <c r="AL22"/>
  <c r="AH22"/>
  <c r="AD22"/>
  <c r="S22"/>
  <c r="T22" s="1"/>
  <c r="L22"/>
  <c r="N22" s="1"/>
  <c r="W22" s="1"/>
  <c r="X22" s="1"/>
  <c r="CD21"/>
  <c r="CA21"/>
  <c r="BU21"/>
  <c r="BH21"/>
  <c r="BA21"/>
  <c r="BW21" s="1"/>
  <c r="AX21"/>
  <c r="AY23" s="1"/>
  <c r="AV21"/>
  <c r="AO21"/>
  <c r="AN21"/>
  <c r="AM21"/>
  <c r="AL21"/>
  <c r="AH21"/>
  <c r="AD21"/>
  <c r="S21"/>
  <c r="T21" s="1"/>
  <c r="L21"/>
  <c r="N21" s="1"/>
  <c r="W21" s="1"/>
  <c r="X21" s="1"/>
  <c r="CD20"/>
  <c r="CA20"/>
  <c r="BU20"/>
  <c r="BH20"/>
  <c r="BA20"/>
  <c r="AV20"/>
  <c r="AX20" s="1"/>
  <c r="AY22" s="1"/>
  <c r="AO20"/>
  <c r="AN20"/>
  <c r="AM20"/>
  <c r="AL20"/>
  <c r="AH20"/>
  <c r="AD20"/>
  <c r="S20"/>
  <c r="T20" s="1"/>
  <c r="L20"/>
  <c r="N20" s="1"/>
  <c r="W20" s="1"/>
  <c r="X20" s="1"/>
  <c r="CD19"/>
  <c r="CA19"/>
  <c r="BH19"/>
  <c r="BA19"/>
  <c r="AV19"/>
  <c r="AX19" s="1"/>
  <c r="AY21" s="1"/>
  <c r="AO19"/>
  <c r="AN19"/>
  <c r="AM19"/>
  <c r="AL19"/>
  <c r="AP19" s="1"/>
  <c r="BT19" s="1"/>
  <c r="AH19"/>
  <c r="AD19"/>
  <c r="S19"/>
  <c r="T19" s="1"/>
  <c r="N19"/>
  <c r="W19" s="1"/>
  <c r="X19" s="1"/>
  <c r="L19"/>
  <c r="CD18"/>
  <c r="CA18"/>
  <c r="BH18"/>
  <c r="BA18"/>
  <c r="AY18"/>
  <c r="AV18"/>
  <c r="BU18" s="1"/>
  <c r="AO18"/>
  <c r="AN18"/>
  <c r="AM18"/>
  <c r="AL18"/>
  <c r="AH18"/>
  <c r="AP18" s="1"/>
  <c r="BT18" s="1"/>
  <c r="AD18"/>
  <c r="S18"/>
  <c r="T18" s="1"/>
  <c r="N18"/>
  <c r="W18" s="1"/>
  <c r="X18" s="1"/>
  <c r="L18"/>
  <c r="BC18" s="1"/>
  <c r="CD17"/>
  <c r="CA17"/>
  <c r="BH17"/>
  <c r="BA17"/>
  <c r="AY17"/>
  <c r="AV17"/>
  <c r="BU17" s="1"/>
  <c r="AO17"/>
  <c r="AN17"/>
  <c r="AM17"/>
  <c r="AL17"/>
  <c r="AH17"/>
  <c r="AD17"/>
  <c r="S17"/>
  <c r="T17" s="1"/>
  <c r="L17"/>
  <c r="N17" s="1"/>
  <c r="W17" s="1"/>
  <c r="X17" s="1"/>
  <c r="CD16"/>
  <c r="CC16"/>
  <c r="CB16"/>
  <c r="BZ16"/>
  <c r="BY16"/>
  <c r="BX16"/>
  <c r="BS16"/>
  <c r="BR16"/>
  <c r="BN16"/>
  <c r="BM16"/>
  <c r="BL16"/>
  <c r="BK16"/>
  <c r="BJ16"/>
  <c r="BH16"/>
  <c r="BG16"/>
  <c r="BF16"/>
  <c r="BE16"/>
  <c r="BD16"/>
  <c r="BB16"/>
  <c r="AW16"/>
  <c r="AV16"/>
  <c r="AU16"/>
  <c r="AT16"/>
  <c r="AS16"/>
  <c r="AR16"/>
  <c r="AO16"/>
  <c r="AK16"/>
  <c r="AJ16"/>
  <c r="AI16"/>
  <c r="AH16"/>
  <c r="AG16"/>
  <c r="AF16"/>
  <c r="AE16"/>
  <c r="AC16"/>
  <c r="AB16"/>
  <c r="AA16"/>
  <c r="U16"/>
  <c r="R16"/>
  <c r="Q16"/>
  <c r="P16"/>
  <c r="O16"/>
  <c r="M16"/>
  <c r="K16"/>
  <c r="J16"/>
  <c r="CD10"/>
  <c r="CA10"/>
  <c r="CA9"/>
  <c r="CA8"/>
  <c r="CA7"/>
  <c r="AY7"/>
  <c r="AZ7" s="1"/>
  <c r="AX22" l="1"/>
  <c r="AY24" s="1"/>
  <c r="AZ24" s="1"/>
  <c r="AP24"/>
  <c r="BT24" s="1"/>
  <c r="BW32"/>
  <c r="BC38"/>
  <c r="AP47"/>
  <c r="BT47" s="1"/>
  <c r="AP49"/>
  <c r="BV49" s="1"/>
  <c r="AZ18"/>
  <c r="BW20"/>
  <c r="BC21"/>
  <c r="BC23"/>
  <c r="BC24"/>
  <c r="AP25"/>
  <c r="BV25" s="1"/>
  <c r="BW26"/>
  <c r="BC32"/>
  <c r="AP34"/>
  <c r="AP36"/>
  <c r="BT36" s="1"/>
  <c r="N38"/>
  <c r="W38" s="1"/>
  <c r="X38" s="1"/>
  <c r="AP50"/>
  <c r="BU50"/>
  <c r="S16"/>
  <c r="AP17"/>
  <c r="BV17" s="1"/>
  <c r="AP20"/>
  <c r="AP26"/>
  <c r="AP31"/>
  <c r="BV31" s="1"/>
  <c r="BC40"/>
  <c r="BC41"/>
  <c r="BC29" s="1"/>
  <c r="AP48"/>
  <c r="BT48" s="1"/>
  <c r="AP51"/>
  <c r="BT51" s="1"/>
  <c r="BT20"/>
  <c r="BV20"/>
  <c r="BT26"/>
  <c r="BV26"/>
  <c r="BU39"/>
  <c r="BU46"/>
  <c r="BC51"/>
  <c r="BC17"/>
  <c r="AX18"/>
  <c r="AY20" s="1"/>
  <c r="AZ20" s="1"/>
  <c r="AP21"/>
  <c r="AX23"/>
  <c r="AY25" s="1"/>
  <c r="AZ25" s="1"/>
  <c r="N24"/>
  <c r="W24" s="1"/>
  <c r="X24" s="1"/>
  <c r="BW24"/>
  <c r="AX27"/>
  <c r="AY30" s="1"/>
  <c r="BC28"/>
  <c r="BC16" s="1"/>
  <c r="AZ34"/>
  <c r="BU32"/>
  <c r="AX33"/>
  <c r="AY35" s="1"/>
  <c r="AZ35" s="1"/>
  <c r="N35"/>
  <c r="W35" s="1"/>
  <c r="X35" s="1"/>
  <c r="AZ40"/>
  <c r="BU38"/>
  <c r="N41"/>
  <c r="AP41"/>
  <c r="AZ47"/>
  <c r="BU45"/>
  <c r="N48"/>
  <c r="W48" s="1"/>
  <c r="X48" s="1"/>
  <c r="BW49"/>
  <c r="BW50"/>
  <c r="BU52"/>
  <c r="BW44"/>
  <c r="AP23"/>
  <c r="AP27"/>
  <c r="BV27" s="1"/>
  <c r="AZ27"/>
  <c r="BW27"/>
  <c r="AP33"/>
  <c r="BC33"/>
  <c r="AP39"/>
  <c r="BT39" s="1"/>
  <c r="BC39"/>
  <c r="BW45"/>
  <c r="AP46"/>
  <c r="BV46" s="1"/>
  <c r="BC46"/>
  <c r="BU51"/>
  <c r="BC22"/>
  <c r="BW37"/>
  <c r="AX17"/>
  <c r="AY19" s="1"/>
  <c r="AZ19" s="1"/>
  <c r="BW18"/>
  <c r="BC19"/>
  <c r="AP22"/>
  <c r="BT22" s="1"/>
  <c r="BW22"/>
  <c r="AZ23"/>
  <c r="AX24"/>
  <c r="AY26" s="1"/>
  <c r="AZ26" s="1"/>
  <c r="BU26"/>
  <c r="BC27"/>
  <c r="AX28"/>
  <c r="BU31"/>
  <c r="AP32"/>
  <c r="BT32" s="1"/>
  <c r="AX34"/>
  <c r="AY36" s="1"/>
  <c r="AZ36" s="1"/>
  <c r="AP37"/>
  <c r="BU37"/>
  <c r="AP38"/>
  <c r="BV38" s="1"/>
  <c r="AX40"/>
  <c r="AY43" s="1"/>
  <c r="AZ43" s="1"/>
  <c r="AP44"/>
  <c r="BV44" s="1"/>
  <c r="BU44"/>
  <c r="AP45"/>
  <c r="BT45" s="1"/>
  <c r="AX47"/>
  <c r="AY49" s="1"/>
  <c r="AZ49" s="1"/>
  <c r="BW51"/>
  <c r="AP52"/>
  <c r="BT52" s="1"/>
  <c r="BC52"/>
  <c r="BV21"/>
  <c r="BT21"/>
  <c r="BV45"/>
  <c r="BT23"/>
  <c r="BV23"/>
  <c r="BT31"/>
  <c r="BT33"/>
  <c r="BV33"/>
  <c r="AZ21"/>
  <c r="AZ37"/>
  <c r="BT17"/>
  <c r="BT40"/>
  <c r="BV40"/>
  <c r="BT38"/>
  <c r="BT44"/>
  <c r="BT27"/>
  <c r="AY44"/>
  <c r="AZ44" s="1"/>
  <c r="AX29"/>
  <c r="BT46"/>
  <c r="AZ50"/>
  <c r="BT34"/>
  <c r="BV34"/>
  <c r="BV32"/>
  <c r="BV37"/>
  <c r="BT37"/>
  <c r="BT28"/>
  <c r="BT16" s="1"/>
  <c r="BV28"/>
  <c r="BV16" s="1"/>
  <c r="AP16"/>
  <c r="BV47"/>
  <c r="BV50"/>
  <c r="BT50"/>
  <c r="AZ30"/>
  <c r="AZ39"/>
  <c r="BV43"/>
  <c r="AZ52"/>
  <c r="BV19"/>
  <c r="BU30"/>
  <c r="BU19"/>
  <c r="BU25"/>
  <c r="BT30"/>
  <c r="BC31"/>
  <c r="AZ32"/>
  <c r="BV35"/>
  <c r="AZ38"/>
  <c r="BC44"/>
  <c r="BV48"/>
  <c r="BT49"/>
  <c r="BC50"/>
  <c r="AZ51"/>
  <c r="AD16"/>
  <c r="BV18"/>
  <c r="BC20"/>
  <c r="BV24"/>
  <c r="BT25"/>
  <c r="BC26"/>
  <c r="BW34"/>
  <c r="BU35"/>
  <c r="BW40"/>
  <c r="BU41"/>
  <c r="BU29" s="1"/>
  <c r="BW47"/>
  <c r="BU48"/>
  <c r="BV36"/>
  <c r="L29"/>
  <c r="BU36"/>
  <c r="AY29"/>
  <c r="BC37"/>
  <c r="BV41"/>
  <c r="BV29" s="1"/>
  <c r="AZ45"/>
  <c r="BW17"/>
  <c r="BW23"/>
  <c r="N28"/>
  <c r="BC30"/>
  <c r="BC36"/>
  <c r="BC43"/>
  <c r="BC49"/>
  <c r="AZ17"/>
  <c r="BW19"/>
  <c r="AZ33"/>
  <c r="AZ22"/>
  <c r="BW35"/>
  <c r="AV29"/>
  <c r="BW33"/>
  <c r="BW39"/>
  <c r="AZ28"/>
  <c r="AZ16" s="1"/>
  <c r="BW41"/>
  <c r="BW29" s="1"/>
  <c r="BU43"/>
  <c r="BW48"/>
  <c r="BA16"/>
  <c r="BC25"/>
  <c r="BW46"/>
  <c r="BW52"/>
  <c r="S29"/>
  <c r="BW25"/>
  <c r="AZ46"/>
  <c r="BV39" l="1"/>
  <c r="BV51"/>
  <c r="BT41"/>
  <c r="BT29" s="1"/>
  <c r="AP29"/>
  <c r="W41"/>
  <c r="N29"/>
  <c r="BV22"/>
  <c r="BV52"/>
  <c r="AY31"/>
  <c r="AZ31" s="1"/>
  <c r="AX16"/>
  <c r="N16"/>
  <c r="W28"/>
  <c r="X41" l="1"/>
  <c r="X29" s="1"/>
  <c r="W29"/>
  <c r="W16"/>
  <c r="X28"/>
  <c r="X16" s="1"/>
  <c r="L42" i="61" l="1"/>
  <c r="L41"/>
  <c r="F41"/>
  <c r="L40"/>
  <c r="F40"/>
  <c r="L39"/>
  <c r="F39"/>
  <c r="L38"/>
  <c r="F38"/>
  <c r="L37"/>
  <c r="F37"/>
  <c r="L36"/>
  <c r="F36"/>
  <c r="L35"/>
  <c r="F35"/>
  <c r="L34"/>
  <c r="F34"/>
  <c r="L33"/>
  <c r="F33"/>
  <c r="L31"/>
  <c r="L19" s="1"/>
  <c r="F31"/>
  <c r="F19" s="1"/>
  <c r="L30"/>
  <c r="F30"/>
  <c r="L29"/>
  <c r="F29"/>
  <c r="L28"/>
  <c r="F28"/>
  <c r="L27"/>
  <c r="F27"/>
  <c r="L26"/>
  <c r="F26"/>
  <c r="L25"/>
  <c r="F25"/>
  <c r="L24"/>
  <c r="F24"/>
  <c r="L23"/>
  <c r="F23"/>
  <c r="L22"/>
  <c r="F22"/>
  <c r="L21"/>
  <c r="F21"/>
  <c r="L20"/>
  <c r="F20"/>
  <c r="S19"/>
  <c r="R19"/>
  <c r="Q19"/>
  <c r="P19"/>
  <c r="O19"/>
  <c r="N19"/>
  <c r="M19"/>
  <c r="K19"/>
  <c r="J19"/>
  <c r="I19"/>
  <c r="H19"/>
  <c r="G19"/>
  <c r="E19"/>
  <c r="D19"/>
  <c r="C19"/>
  <c r="B19"/>
  <c r="L18"/>
  <c r="L6" s="1"/>
  <c r="F18"/>
  <c r="L17"/>
  <c r="F17"/>
  <c r="L16"/>
  <c r="F16"/>
  <c r="L15"/>
  <c r="F15"/>
  <c r="L14"/>
  <c r="F14"/>
  <c r="L13"/>
  <c r="F13"/>
  <c r="L12"/>
  <c r="F12"/>
  <c r="L11"/>
  <c r="F11"/>
  <c r="L10"/>
  <c r="F10"/>
  <c r="L9"/>
  <c r="F9"/>
  <c r="L8"/>
  <c r="F8"/>
  <c r="L7"/>
  <c r="F7"/>
  <c r="S6"/>
  <c r="R6"/>
  <c r="Q6"/>
  <c r="P6"/>
  <c r="O6"/>
  <c r="N6"/>
  <c r="M6"/>
  <c r="K6"/>
  <c r="J6"/>
  <c r="I6"/>
  <c r="H6"/>
  <c r="G6"/>
  <c r="F6"/>
  <c r="E6"/>
  <c r="D6"/>
  <c r="C6"/>
  <c r="B6"/>
  <c r="I30" i="57"/>
  <c r="BK18"/>
  <c r="AM52" i="7"/>
  <c r="O52"/>
  <c r="AN52" s="1"/>
  <c r="F52"/>
  <c r="K52" s="1"/>
  <c r="AM51"/>
  <c r="O51"/>
  <c r="AN51" s="1"/>
  <c r="L51"/>
  <c r="K51" s="1"/>
  <c r="F51"/>
  <c r="AM50"/>
  <c r="O50"/>
  <c r="AN50" s="1"/>
  <c r="L50"/>
  <c r="K50" s="1"/>
  <c r="F50"/>
  <c r="AM49"/>
  <c r="O49"/>
  <c r="L49"/>
  <c r="F49"/>
  <c r="AM48"/>
  <c r="O48"/>
  <c r="L48"/>
  <c r="F48"/>
  <c r="AM47"/>
  <c r="O47"/>
  <c r="L47"/>
  <c r="F47"/>
  <c r="AM46"/>
  <c r="AN46" s="1"/>
  <c r="O46"/>
  <c r="L46"/>
  <c r="F46"/>
  <c r="AM45"/>
  <c r="O45"/>
  <c r="L45"/>
  <c r="K45" s="1"/>
  <c r="AM44"/>
  <c r="O44"/>
  <c r="L44"/>
  <c r="K44" s="1"/>
  <c r="F44"/>
  <c r="AN43"/>
  <c r="AM43"/>
  <c r="O43"/>
  <c r="L43"/>
  <c r="K43"/>
  <c r="F43"/>
  <c r="AM41"/>
  <c r="O41"/>
  <c r="L41"/>
  <c r="F41"/>
  <c r="AM40"/>
  <c r="O40"/>
  <c r="L40"/>
  <c r="K40" s="1"/>
  <c r="F40"/>
  <c r="AM39"/>
  <c r="O39"/>
  <c r="L39"/>
  <c r="K39" s="1"/>
  <c r="AM38"/>
  <c r="O38"/>
  <c r="L38"/>
  <c r="F38"/>
  <c r="AM37"/>
  <c r="O37"/>
  <c r="L37"/>
  <c r="K37" s="1"/>
  <c r="AM36"/>
  <c r="O36"/>
  <c r="O29" s="1"/>
  <c r="L36"/>
  <c r="F36"/>
  <c r="AN35"/>
  <c r="AM35"/>
  <c r="O35"/>
  <c r="L35"/>
  <c r="F35"/>
  <c r="AM34"/>
  <c r="O34"/>
  <c r="L34"/>
  <c r="F34"/>
  <c r="AN33"/>
  <c r="AM33"/>
  <c r="O33"/>
  <c r="L33"/>
  <c r="F33"/>
  <c r="AM32"/>
  <c r="O32"/>
  <c r="L32"/>
  <c r="F32"/>
  <c r="AM31"/>
  <c r="O31"/>
  <c r="L31"/>
  <c r="F31"/>
  <c r="AM30"/>
  <c r="O30"/>
  <c r="L30"/>
  <c r="K30" s="1"/>
  <c r="F30"/>
  <c r="AL29"/>
  <c r="AK29"/>
  <c r="AJ29"/>
  <c r="AI29"/>
  <c r="AH29"/>
  <c r="AG29"/>
  <c r="AF29"/>
  <c r="AE29"/>
  <c r="AD29"/>
  <c r="AC29"/>
  <c r="AB29"/>
  <c r="AA29"/>
  <c r="Z29"/>
  <c r="Y29"/>
  <c r="X29"/>
  <c r="W29"/>
  <c r="T29"/>
  <c r="S29"/>
  <c r="R29"/>
  <c r="Q29"/>
  <c r="P29"/>
  <c r="N29"/>
  <c r="M29"/>
  <c r="J29"/>
  <c r="I29"/>
  <c r="H29"/>
  <c r="G29"/>
  <c r="E29"/>
  <c r="D29"/>
  <c r="C29"/>
  <c r="B29"/>
  <c r="AM28"/>
  <c r="O28"/>
  <c r="L28"/>
  <c r="F28"/>
  <c r="AM27"/>
  <c r="O27"/>
  <c r="L27"/>
  <c r="K27" s="1"/>
  <c r="F27"/>
  <c r="AM26"/>
  <c r="O26"/>
  <c r="L26"/>
  <c r="K26" s="1"/>
  <c r="F26"/>
  <c r="AM25"/>
  <c r="AN25" s="1"/>
  <c r="O25"/>
  <c r="L25"/>
  <c r="F25"/>
  <c r="AM24"/>
  <c r="O24"/>
  <c r="L24"/>
  <c r="K24" s="1"/>
  <c r="F24"/>
  <c r="AM23"/>
  <c r="AN23" s="1"/>
  <c r="O23"/>
  <c r="L23"/>
  <c r="AO23" s="1"/>
  <c r="F23"/>
  <c r="AM22"/>
  <c r="O22"/>
  <c r="L22"/>
  <c r="AM21"/>
  <c r="O21"/>
  <c r="L21"/>
  <c r="F21"/>
  <c r="AM20"/>
  <c r="O20"/>
  <c r="L20"/>
  <c r="K20" s="1"/>
  <c r="AM19"/>
  <c r="O19"/>
  <c r="L19"/>
  <c r="K19" s="1"/>
  <c r="AM18"/>
  <c r="O18"/>
  <c r="L18"/>
  <c r="F18"/>
  <c r="AM17"/>
  <c r="O17"/>
  <c r="L17"/>
  <c r="F17"/>
  <c r="AL16"/>
  <c r="AK16"/>
  <c r="AJ16"/>
  <c r="AI16"/>
  <c r="AH16"/>
  <c r="AG16"/>
  <c r="AF16"/>
  <c r="AE16"/>
  <c r="AD16"/>
  <c r="AC16"/>
  <c r="AB16"/>
  <c r="AA16"/>
  <c r="Z16"/>
  <c r="Y16"/>
  <c r="X16"/>
  <c r="W16"/>
  <c r="T16"/>
  <c r="S16"/>
  <c r="R16"/>
  <c r="Q16"/>
  <c r="P16"/>
  <c r="N16"/>
  <c r="M16"/>
  <c r="J16"/>
  <c r="I16"/>
  <c r="H16"/>
  <c r="G16"/>
  <c r="E16"/>
  <c r="D16"/>
  <c r="C16"/>
  <c r="B16"/>
  <c r="AM16" l="1"/>
  <c r="K21"/>
  <c r="AN22"/>
  <c r="AN24"/>
  <c r="AN26"/>
  <c r="AN27"/>
  <c r="AN28"/>
  <c r="AN30"/>
  <c r="AO34"/>
  <c r="AN39"/>
  <c r="AN40"/>
  <c r="AN41"/>
  <c r="AO43"/>
  <c r="K47"/>
  <c r="K48"/>
  <c r="AN20"/>
  <c r="AN21"/>
  <c r="AO21" s="1"/>
  <c r="AN34"/>
  <c r="AN37"/>
  <c r="AN38"/>
  <c r="AN45"/>
  <c r="AO45" s="1"/>
  <c r="AN47"/>
  <c r="AN48"/>
  <c r="AO48" s="1"/>
  <c r="AN49"/>
  <c r="AO50"/>
  <c r="AN19"/>
  <c r="F16"/>
  <c r="AN36"/>
  <c r="AN44"/>
  <c r="AO44" s="1"/>
  <c r="K23"/>
  <c r="K32"/>
  <c r="K33"/>
  <c r="K35"/>
  <c r="AO35"/>
  <c r="K17"/>
  <c r="L16"/>
  <c r="AO25"/>
  <c r="AM29"/>
  <c r="AN31"/>
  <c r="AN32"/>
  <c r="K34"/>
  <c r="AO46"/>
  <c r="O16"/>
  <c r="AN18"/>
  <c r="AO28"/>
  <c r="AO36"/>
  <c r="AO41"/>
  <c r="AO49"/>
  <c r="AO51"/>
  <c r="AO22"/>
  <c r="AO24"/>
  <c r="F29"/>
  <c r="AO31"/>
  <c r="AO38"/>
  <c r="AN29"/>
  <c r="K22"/>
  <c r="K18"/>
  <c r="K16" s="1"/>
  <c r="AO19"/>
  <c r="L29"/>
  <c r="K31"/>
  <c r="AO32"/>
  <c r="K38"/>
  <c r="K25"/>
  <c r="AO26"/>
  <c r="K36"/>
  <c r="AO39"/>
  <c r="K46"/>
  <c r="AO47"/>
  <c r="AN17"/>
  <c r="AO30"/>
  <c r="AO37"/>
  <c r="AO52"/>
  <c r="K28"/>
  <c r="K41"/>
  <c r="AO18"/>
  <c r="K49"/>
  <c r="AO33"/>
  <c r="AO20"/>
  <c r="AO27"/>
  <c r="AO40"/>
  <c r="G53" i="51"/>
  <c r="I53" s="1"/>
  <c r="J53" s="1"/>
  <c r="G53" i="4"/>
  <c r="AN16" i="7" l="1"/>
  <c r="K29"/>
  <c r="AO29"/>
  <c r="AO17"/>
  <c r="AO16" s="1"/>
  <c r="K54" i="3"/>
  <c r="J54"/>
  <c r="G54"/>
  <c r="D54"/>
  <c r="L54" l="1"/>
  <c r="N54" s="1"/>
  <c r="O54" s="1"/>
  <c r="U46" i="6"/>
  <c r="M46"/>
  <c r="J46"/>
  <c r="G46"/>
  <c r="D46"/>
  <c r="J51" i="33"/>
  <c r="K51" s="1"/>
  <c r="J50"/>
  <c r="J42"/>
  <c r="N46" i="6" l="1"/>
  <c r="V46" s="1"/>
  <c r="P50" i="41"/>
  <c r="J46" i="33" l="1"/>
  <c r="J45"/>
  <c r="J44"/>
  <c r="J43"/>
  <c r="J49"/>
  <c r="K50"/>
  <c r="I46" i="50" l="1"/>
  <c r="C46"/>
  <c r="D46"/>
  <c r="B46"/>
  <c r="E46" s="1"/>
  <c r="I48"/>
  <c r="E48"/>
  <c r="M52" i="5"/>
  <c r="O52" s="1"/>
  <c r="L52"/>
  <c r="J52"/>
  <c r="F52"/>
  <c r="I52" s="1"/>
  <c r="B52"/>
  <c r="E52" s="1"/>
  <c r="P52" l="1"/>
  <c r="R52" s="1"/>
  <c r="S52" s="1"/>
  <c r="I50" i="36"/>
  <c r="F50"/>
  <c r="K50" s="1"/>
  <c r="I50" i="35"/>
  <c r="F50"/>
  <c r="Q50" i="41"/>
  <c r="K50" i="35" l="1"/>
  <c r="D24" i="40"/>
  <c r="E24"/>
  <c r="E49"/>
  <c r="D49"/>
  <c r="U45" i="6" l="1"/>
  <c r="M45"/>
  <c r="J45"/>
  <c r="G45"/>
  <c r="D45"/>
  <c r="U44"/>
  <c r="M44"/>
  <c r="J44"/>
  <c r="G44"/>
  <c r="D44"/>
  <c r="U43"/>
  <c r="M43"/>
  <c r="J43"/>
  <c r="G43"/>
  <c r="D43"/>
  <c r="U42"/>
  <c r="M42"/>
  <c r="J42"/>
  <c r="G42"/>
  <c r="D42"/>
  <c r="U41"/>
  <c r="M41"/>
  <c r="J41"/>
  <c r="G41"/>
  <c r="D41"/>
  <c r="U40"/>
  <c r="M40"/>
  <c r="J40"/>
  <c r="G40"/>
  <c r="D40"/>
  <c r="U39"/>
  <c r="M39"/>
  <c r="J39"/>
  <c r="G39"/>
  <c r="D39"/>
  <c r="U38"/>
  <c r="M38"/>
  <c r="J38"/>
  <c r="G38"/>
  <c r="D38"/>
  <c r="U36"/>
  <c r="M36"/>
  <c r="J36"/>
  <c r="G36"/>
  <c r="D36"/>
  <c r="U35"/>
  <c r="M35"/>
  <c r="J35"/>
  <c r="G35"/>
  <c r="D35"/>
  <c r="U34"/>
  <c r="M34"/>
  <c r="J34"/>
  <c r="G34"/>
  <c r="D34"/>
  <c r="D32" s="1"/>
  <c r="U33"/>
  <c r="M33"/>
  <c r="J33"/>
  <c r="G33"/>
  <c r="D33"/>
  <c r="T32"/>
  <c r="S32"/>
  <c r="R32"/>
  <c r="Q32"/>
  <c r="P32"/>
  <c r="L32"/>
  <c r="K32"/>
  <c r="I32"/>
  <c r="H32"/>
  <c r="F32"/>
  <c r="E32"/>
  <c r="C32"/>
  <c r="B32"/>
  <c r="U31"/>
  <c r="M31"/>
  <c r="J31"/>
  <c r="G31"/>
  <c r="D31"/>
  <c r="N31" s="1"/>
  <c r="V31" s="1"/>
  <c r="U30"/>
  <c r="M30"/>
  <c r="J30"/>
  <c r="G30"/>
  <c r="D30"/>
  <c r="U29"/>
  <c r="M29"/>
  <c r="J29"/>
  <c r="G29"/>
  <c r="D29"/>
  <c r="U28"/>
  <c r="M28"/>
  <c r="J28"/>
  <c r="G28"/>
  <c r="D28"/>
  <c r="T27"/>
  <c r="S27"/>
  <c r="R27"/>
  <c r="Q27"/>
  <c r="P27"/>
  <c r="L27"/>
  <c r="K27"/>
  <c r="I27"/>
  <c r="H27"/>
  <c r="F27"/>
  <c r="E27"/>
  <c r="C27"/>
  <c r="B27"/>
  <c r="U26"/>
  <c r="M26"/>
  <c r="J26"/>
  <c r="G26"/>
  <c r="D26"/>
  <c r="U25"/>
  <c r="M25"/>
  <c r="J25"/>
  <c r="G25"/>
  <c r="D25"/>
  <c r="U24"/>
  <c r="M24"/>
  <c r="J24"/>
  <c r="G24"/>
  <c r="D24"/>
  <c r="U23"/>
  <c r="M23"/>
  <c r="J23"/>
  <c r="G23"/>
  <c r="D23"/>
  <c r="T22"/>
  <c r="S22"/>
  <c r="R22"/>
  <c r="Q22"/>
  <c r="P22"/>
  <c r="L22"/>
  <c r="K22"/>
  <c r="I22"/>
  <c r="H22"/>
  <c r="F22"/>
  <c r="E22"/>
  <c r="C22"/>
  <c r="B22"/>
  <c r="U21"/>
  <c r="M21"/>
  <c r="J21"/>
  <c r="G21"/>
  <c r="D21"/>
  <c r="U20"/>
  <c r="M20"/>
  <c r="J20"/>
  <c r="G20"/>
  <c r="D20"/>
  <c r="U19"/>
  <c r="M19"/>
  <c r="J19"/>
  <c r="G19"/>
  <c r="D19"/>
  <c r="U18"/>
  <c r="M18"/>
  <c r="J18"/>
  <c r="G18"/>
  <c r="D18"/>
  <c r="T17"/>
  <c r="S17"/>
  <c r="R17"/>
  <c r="Q17"/>
  <c r="P17"/>
  <c r="L17"/>
  <c r="K17"/>
  <c r="I17"/>
  <c r="H17"/>
  <c r="F17"/>
  <c r="E17"/>
  <c r="C17"/>
  <c r="B17"/>
  <c r="U16"/>
  <c r="M16"/>
  <c r="J16"/>
  <c r="G16"/>
  <c r="D16"/>
  <c r="U15"/>
  <c r="M15"/>
  <c r="J15"/>
  <c r="G15"/>
  <c r="D15"/>
  <c r="U14"/>
  <c r="M14"/>
  <c r="J14"/>
  <c r="G14"/>
  <c r="D14"/>
  <c r="U13"/>
  <c r="M13"/>
  <c r="J13"/>
  <c r="G13"/>
  <c r="D13"/>
  <c r="T12"/>
  <c r="S12"/>
  <c r="R12"/>
  <c r="Q12"/>
  <c r="P12"/>
  <c r="L12"/>
  <c r="K12"/>
  <c r="I12"/>
  <c r="H12"/>
  <c r="F12"/>
  <c r="E12"/>
  <c r="C12"/>
  <c r="B12"/>
  <c r="U6"/>
  <c r="V6" s="1"/>
  <c r="G12" l="1"/>
  <c r="U17"/>
  <c r="N26"/>
  <c r="V26" s="1"/>
  <c r="N33"/>
  <c r="N32" s="1"/>
  <c r="U32"/>
  <c r="M32"/>
  <c r="N16"/>
  <c r="V16" s="1"/>
  <c r="G22"/>
  <c r="U27"/>
  <c r="N21"/>
  <c r="V21" s="1"/>
  <c r="N36"/>
  <c r="V36" s="1"/>
  <c r="N41"/>
  <c r="V41" s="1"/>
  <c r="N43"/>
  <c r="V43" s="1"/>
  <c r="J12"/>
  <c r="D12"/>
  <c r="N18"/>
  <c r="N17" s="1"/>
  <c r="M17"/>
  <c r="J22"/>
  <c r="N24"/>
  <c r="V24" s="1"/>
  <c r="N25"/>
  <c r="V25" s="1"/>
  <c r="N28"/>
  <c r="M27"/>
  <c r="G32"/>
  <c r="N42"/>
  <c r="V42" s="1"/>
  <c r="N14"/>
  <c r="V14" s="1"/>
  <c r="G17"/>
  <c r="G27"/>
  <c r="J32"/>
  <c r="N34"/>
  <c r="V34" s="1"/>
  <c r="N35"/>
  <c r="V35" s="1"/>
  <c r="N39"/>
  <c r="V39" s="1"/>
  <c r="N44"/>
  <c r="V44" s="1"/>
  <c r="N45"/>
  <c r="V45" s="1"/>
  <c r="N13"/>
  <c r="V13" s="1"/>
  <c r="V12" s="1"/>
  <c r="U12"/>
  <c r="M12"/>
  <c r="J17"/>
  <c r="N19"/>
  <c r="V19" s="1"/>
  <c r="N20"/>
  <c r="V20" s="1"/>
  <c r="N23"/>
  <c r="V23" s="1"/>
  <c r="V22" s="1"/>
  <c r="U22"/>
  <c r="M22"/>
  <c r="J27"/>
  <c r="N29"/>
  <c r="V29" s="1"/>
  <c r="N30"/>
  <c r="V30" s="1"/>
  <c r="N38"/>
  <c r="V38" s="1"/>
  <c r="N40"/>
  <c r="V40" s="1"/>
  <c r="N22"/>
  <c r="N12"/>
  <c r="N15"/>
  <c r="V15" s="1"/>
  <c r="D22"/>
  <c r="D27"/>
  <c r="D17"/>
  <c r="V33" l="1"/>
  <c r="V32" s="1"/>
  <c r="N27"/>
  <c r="V18"/>
  <c r="V17" s="1"/>
  <c r="V28"/>
  <c r="V27" s="1"/>
  <c r="J44" i="60"/>
  <c r="U49" i="45"/>
  <c r="U48"/>
  <c r="G52" i="4" l="1"/>
  <c r="G52" i="51"/>
  <c r="I52" s="1"/>
  <c r="J52" s="1"/>
  <c r="K53" i="3"/>
  <c r="J53"/>
  <c r="G53"/>
  <c r="D53"/>
  <c r="P49" i="41"/>
  <c r="Q49" s="1"/>
  <c r="E48" i="40"/>
  <c r="D48"/>
  <c r="L53" i="3" l="1"/>
  <c r="N53" s="1"/>
  <c r="O53" s="1"/>
  <c r="J43" i="60"/>
  <c r="E43"/>
  <c r="J42"/>
  <c r="E42"/>
  <c r="J41"/>
  <c r="E41"/>
  <c r="J40"/>
  <c r="E40"/>
  <c r="J39"/>
  <c r="E39"/>
  <c r="J38"/>
  <c r="E38"/>
  <c r="J37"/>
  <c r="E37"/>
  <c r="J36"/>
  <c r="E36"/>
  <c r="J34"/>
  <c r="J22" s="1"/>
  <c r="E34"/>
  <c r="E22" s="1"/>
  <c r="J33"/>
  <c r="E33"/>
  <c r="J32"/>
  <c r="E32"/>
  <c r="J31"/>
  <c r="E31"/>
  <c r="J30"/>
  <c r="E30"/>
  <c r="J29"/>
  <c r="E29"/>
  <c r="J28"/>
  <c r="E28"/>
  <c r="J27"/>
  <c r="E27"/>
  <c r="J26"/>
  <c r="E26"/>
  <c r="J25"/>
  <c r="E25"/>
  <c r="J24"/>
  <c r="E24"/>
  <c r="J23"/>
  <c r="E23"/>
  <c r="Q22"/>
  <c r="P22"/>
  <c r="O22"/>
  <c r="N22"/>
  <c r="M22"/>
  <c r="L22"/>
  <c r="K22"/>
  <c r="I22"/>
  <c r="H22"/>
  <c r="G22"/>
  <c r="F22"/>
  <c r="D22"/>
  <c r="C22"/>
  <c r="B22"/>
  <c r="J21"/>
  <c r="J9" s="1"/>
  <c r="E21"/>
  <c r="E9" s="1"/>
  <c r="J20"/>
  <c r="E20"/>
  <c r="J19"/>
  <c r="E19"/>
  <c r="J18"/>
  <c r="E18"/>
  <c r="J17"/>
  <c r="E17"/>
  <c r="J16"/>
  <c r="E16"/>
  <c r="J15"/>
  <c r="E15"/>
  <c r="J14"/>
  <c r="E14"/>
  <c r="J13"/>
  <c r="E13"/>
  <c r="J12"/>
  <c r="E12"/>
  <c r="J11"/>
  <c r="E11"/>
  <c r="J10"/>
  <c r="E10"/>
  <c r="Q9"/>
  <c r="P9"/>
  <c r="O9"/>
  <c r="N9"/>
  <c r="M9"/>
  <c r="L9"/>
  <c r="K9"/>
  <c r="I9"/>
  <c r="H9"/>
  <c r="G9"/>
  <c r="F9"/>
  <c r="D9"/>
  <c r="C9"/>
  <c r="B9"/>
  <c r="K49" i="33"/>
  <c r="K48"/>
  <c r="J47"/>
  <c r="K47" s="1"/>
  <c r="K46"/>
  <c r="K45"/>
  <c r="K44"/>
  <c r="K43"/>
  <c r="K42"/>
  <c r="K40"/>
  <c r="K39"/>
  <c r="K38"/>
  <c r="J37"/>
  <c r="K37" s="1"/>
  <c r="J36"/>
  <c r="K36" s="1"/>
  <c r="K35"/>
  <c r="K34"/>
  <c r="K33"/>
  <c r="K32"/>
  <c r="K31"/>
  <c r="K30"/>
  <c r="J29"/>
  <c r="K29" s="1"/>
  <c r="O28"/>
  <c r="N28"/>
  <c r="M28"/>
  <c r="L28"/>
  <c r="I28"/>
  <c r="H28"/>
  <c r="G28"/>
  <c r="F28"/>
  <c r="E28"/>
  <c r="D28"/>
  <c r="C28"/>
  <c r="B28"/>
  <c r="K27"/>
  <c r="K26"/>
  <c r="K25"/>
  <c r="K24"/>
  <c r="K23"/>
  <c r="K22"/>
  <c r="K21"/>
  <c r="K20"/>
  <c r="K19"/>
  <c r="K18"/>
  <c r="K17"/>
  <c r="K16"/>
  <c r="O15"/>
  <c r="N15"/>
  <c r="M15"/>
  <c r="L15"/>
  <c r="J15"/>
  <c r="I15"/>
  <c r="H15"/>
  <c r="G15"/>
  <c r="F15"/>
  <c r="E15"/>
  <c r="D15"/>
  <c r="C15"/>
  <c r="B15"/>
  <c r="BW29" i="58"/>
  <c r="BU29"/>
  <c r="BS29"/>
  <c r="BQ29"/>
  <c r="BO29"/>
  <c r="BM29"/>
  <c r="BK29"/>
  <c r="BH29"/>
  <c r="BF29"/>
  <c r="BD29"/>
  <c r="BB29"/>
  <c r="AZ29"/>
  <c r="AX29"/>
  <c r="AV29"/>
  <c r="AS29"/>
  <c r="AQ29"/>
  <c r="AO29"/>
  <c r="AM29"/>
  <c r="AK29"/>
  <c r="AI29"/>
  <c r="AG29"/>
  <c r="AD29"/>
  <c r="AB29"/>
  <c r="Z29"/>
  <c r="X29"/>
  <c r="V29"/>
  <c r="T29"/>
  <c r="R29"/>
  <c r="O29"/>
  <c r="M29"/>
  <c r="K29"/>
  <c r="I29"/>
  <c r="G29"/>
  <c r="E29"/>
  <c r="C29"/>
  <c r="BW16"/>
  <c r="BU16"/>
  <c r="BS16"/>
  <c r="BQ16"/>
  <c r="BO16"/>
  <c r="BM16"/>
  <c r="BK16"/>
  <c r="BH16"/>
  <c r="BF16"/>
  <c r="BD16"/>
  <c r="BB16"/>
  <c r="AZ16"/>
  <c r="AX16"/>
  <c r="AV16"/>
  <c r="AS16"/>
  <c r="AQ16"/>
  <c r="AO16"/>
  <c r="AM16"/>
  <c r="AK16"/>
  <c r="AI16"/>
  <c r="AG16"/>
  <c r="AD16"/>
  <c r="AB16"/>
  <c r="Z16"/>
  <c r="X16"/>
  <c r="V16"/>
  <c r="T16"/>
  <c r="R16"/>
  <c r="O16"/>
  <c r="M16"/>
  <c r="K16"/>
  <c r="I16"/>
  <c r="G16"/>
  <c r="E16"/>
  <c r="C16"/>
  <c r="U47" i="45"/>
  <c r="U46"/>
  <c r="U45"/>
  <c r="U44"/>
  <c r="U43"/>
  <c r="U42"/>
  <c r="U41"/>
  <c r="U40"/>
  <c r="U38"/>
  <c r="U37"/>
  <c r="U36"/>
  <c r="U35"/>
  <c r="U34"/>
  <c r="U33"/>
  <c r="U32"/>
  <c r="U31"/>
  <c r="U30"/>
  <c r="U29"/>
  <c r="U28"/>
  <c r="U27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U25"/>
  <c r="U24"/>
  <c r="U23"/>
  <c r="U22"/>
  <c r="U21"/>
  <c r="U20"/>
  <c r="U19"/>
  <c r="U18"/>
  <c r="U17"/>
  <c r="U16"/>
  <c r="U15"/>
  <c r="U14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U7"/>
  <c r="U6"/>
  <c r="U5"/>
  <c r="U4"/>
  <c r="D26" i="28"/>
  <c r="C26"/>
  <c r="B26"/>
  <c r="D13"/>
  <c r="C13"/>
  <c r="B13"/>
  <c r="H41" i="13"/>
  <c r="G41"/>
  <c r="F41"/>
  <c r="D41"/>
  <c r="C41"/>
  <c r="B41"/>
  <c r="H28"/>
  <c r="G28"/>
  <c r="F28"/>
  <c r="E28"/>
  <c r="D28"/>
  <c r="C28"/>
  <c r="B28"/>
  <c r="H15"/>
  <c r="G15"/>
  <c r="F15"/>
  <c r="E15"/>
  <c r="D15"/>
  <c r="C15"/>
  <c r="B15"/>
  <c r="N27" i="10"/>
  <c r="L27"/>
  <c r="J27"/>
  <c r="I27"/>
  <c r="H27"/>
  <c r="G27"/>
  <c r="F27"/>
  <c r="D27"/>
  <c r="C27"/>
  <c r="B27"/>
  <c r="J26"/>
  <c r="J25"/>
  <c r="J24"/>
  <c r="J23"/>
  <c r="J22"/>
  <c r="J21"/>
  <c r="J20"/>
  <c r="J19"/>
  <c r="J18"/>
  <c r="J16"/>
  <c r="J15"/>
  <c r="N14"/>
  <c r="L14"/>
  <c r="I14"/>
  <c r="H14"/>
  <c r="G14"/>
  <c r="F14"/>
  <c r="D14"/>
  <c r="C14"/>
  <c r="B14"/>
  <c r="I49" i="36"/>
  <c r="F49"/>
  <c r="M51" i="5"/>
  <c r="O51" s="1"/>
  <c r="J51"/>
  <c r="L51" s="1"/>
  <c r="F51"/>
  <c r="I51" s="1"/>
  <c r="F50"/>
  <c r="B51"/>
  <c r="E51" s="1"/>
  <c r="U13" i="45" l="1"/>
  <c r="J14" i="10"/>
  <c r="K49" i="36"/>
  <c r="K28" i="33"/>
  <c r="K15"/>
  <c r="J28"/>
  <c r="U26" i="45"/>
  <c r="P51" i="5"/>
  <c r="R51" s="1"/>
  <c r="S51" s="1"/>
  <c r="I49" i="35" l="1"/>
  <c r="F49"/>
  <c r="K49" l="1"/>
  <c r="G51" i="51"/>
  <c r="I51" s="1"/>
  <c r="J51" s="1"/>
  <c r="G51" i="4"/>
  <c r="K52" i="3"/>
  <c r="J52"/>
  <c r="D52"/>
  <c r="G52"/>
  <c r="L52" l="1"/>
  <c r="N52" s="1"/>
  <c r="O52" s="1"/>
  <c r="D47" i="40"/>
  <c r="E47"/>
  <c r="I50" i="5" l="1"/>
  <c r="M50"/>
  <c r="O50" s="1"/>
  <c r="J50"/>
  <c r="L50" s="1"/>
  <c r="P50" l="1"/>
  <c r="R50" s="1"/>
  <c r="B50" l="1"/>
  <c r="E50" s="1"/>
  <c r="S50" s="1"/>
  <c r="I48" i="36" l="1"/>
  <c r="F48"/>
  <c r="K48" i="35"/>
  <c r="I46"/>
  <c r="I47"/>
  <c r="I48"/>
  <c r="F46"/>
  <c r="F47"/>
  <c r="F48"/>
  <c r="F45"/>
  <c r="K48" i="36" l="1"/>
  <c r="G50" i="51"/>
  <c r="I50" s="1"/>
  <c r="J50" s="1"/>
  <c r="G50" i="4"/>
  <c r="K51" i="3"/>
  <c r="J51"/>
  <c r="G51"/>
  <c r="D51"/>
  <c r="E46" i="40"/>
  <c r="P44" i="41"/>
  <c r="P46"/>
  <c r="L51" i="3" l="1"/>
  <c r="N51" s="1"/>
  <c r="O51" s="1"/>
  <c r="P47" i="41"/>
  <c r="Q47" l="1"/>
  <c r="D46" i="40"/>
  <c r="I47" i="50" l="1"/>
  <c r="E47"/>
  <c r="M49" i="5" l="1"/>
  <c r="O49" s="1"/>
  <c r="J49"/>
  <c r="L49" s="1"/>
  <c r="F49"/>
  <c r="I49" s="1"/>
  <c r="B49"/>
  <c r="E49" s="1"/>
  <c r="B48"/>
  <c r="I47" i="36"/>
  <c r="F47"/>
  <c r="K47" l="1"/>
  <c r="P49" i="5"/>
  <c r="R49" s="1"/>
  <c r="S49" s="1"/>
  <c r="K47" i="35"/>
  <c r="G49" i="51"/>
  <c r="I49" s="1"/>
  <c r="J49" s="1"/>
  <c r="G49" i="4"/>
  <c r="K50" i="3" l="1"/>
  <c r="J50"/>
  <c r="G50"/>
  <c r="D50"/>
  <c r="Q46" i="41"/>
  <c r="E45" i="40"/>
  <c r="D45"/>
  <c r="L50" i="3" l="1"/>
  <c r="N50" s="1"/>
  <c r="O50" s="1"/>
  <c r="G28" i="44"/>
  <c r="F28"/>
  <c r="E28"/>
  <c r="D28"/>
  <c r="C28"/>
  <c r="B28"/>
  <c r="F45" i="36"/>
  <c r="F47" i="5"/>
  <c r="I46" i="36"/>
  <c r="F46"/>
  <c r="M48" i="5"/>
  <c r="O48" s="1"/>
  <c r="J48"/>
  <c r="L48" s="1"/>
  <c r="F48"/>
  <c r="I48" s="1"/>
  <c r="F46"/>
  <c r="E48"/>
  <c r="K46" i="35"/>
  <c r="I45" i="36"/>
  <c r="I44"/>
  <c r="F44"/>
  <c r="I43"/>
  <c r="F43"/>
  <c r="I42"/>
  <c r="F42"/>
  <c r="I40"/>
  <c r="I28" s="1"/>
  <c r="F40"/>
  <c r="I39"/>
  <c r="F39"/>
  <c r="K39" s="1"/>
  <c r="I38"/>
  <c r="F38"/>
  <c r="K38" s="1"/>
  <c r="I37"/>
  <c r="F37"/>
  <c r="I36"/>
  <c r="F36"/>
  <c r="I35"/>
  <c r="K35" s="1"/>
  <c r="F35"/>
  <c r="I34"/>
  <c r="K34" s="1"/>
  <c r="F34"/>
  <c r="I33"/>
  <c r="F33"/>
  <c r="I32"/>
  <c r="F32"/>
  <c r="I31"/>
  <c r="F31"/>
  <c r="I30"/>
  <c r="F30"/>
  <c r="I29"/>
  <c r="F29"/>
  <c r="J28"/>
  <c r="H28"/>
  <c r="G28"/>
  <c r="E28"/>
  <c r="D28"/>
  <c r="C28"/>
  <c r="B28"/>
  <c r="I27"/>
  <c r="I15" s="1"/>
  <c r="F27"/>
  <c r="F15" s="1"/>
  <c r="I26"/>
  <c r="F26"/>
  <c r="I25"/>
  <c r="F25"/>
  <c r="I24"/>
  <c r="F24"/>
  <c r="K24" s="1"/>
  <c r="I23"/>
  <c r="F23"/>
  <c r="I22"/>
  <c r="F22"/>
  <c r="I21"/>
  <c r="F21"/>
  <c r="I20"/>
  <c r="F20"/>
  <c r="I19"/>
  <c r="F19"/>
  <c r="I18"/>
  <c r="F18"/>
  <c r="I17"/>
  <c r="F17"/>
  <c r="K17" s="1"/>
  <c r="I16"/>
  <c r="F16"/>
  <c r="K16" s="1"/>
  <c r="J15"/>
  <c r="H15"/>
  <c r="G15"/>
  <c r="E15"/>
  <c r="D15"/>
  <c r="C15"/>
  <c r="B15"/>
  <c r="I7"/>
  <c r="F7"/>
  <c r="I6"/>
  <c r="F6"/>
  <c r="K44" l="1"/>
  <c r="K20"/>
  <c r="K30"/>
  <c r="K46"/>
  <c r="K31"/>
  <c r="K32"/>
  <c r="K37"/>
  <c r="K43"/>
  <c r="K40"/>
  <c r="K28" s="1"/>
  <c r="K7"/>
  <c r="K18"/>
  <c r="K36"/>
  <c r="K21"/>
  <c r="K29"/>
  <c r="K42"/>
  <c r="K25"/>
  <c r="K22"/>
  <c r="K33"/>
  <c r="K6"/>
  <c r="K23"/>
  <c r="K26"/>
  <c r="F28"/>
  <c r="K45"/>
  <c r="K19"/>
  <c r="P48" i="5"/>
  <c r="R48" s="1"/>
  <c r="S48" s="1"/>
  <c r="K27" i="36"/>
  <c r="K15" s="1"/>
  <c r="G48" i="51" l="1"/>
  <c r="I48" s="1"/>
  <c r="J48" s="1"/>
  <c r="G48" i="4"/>
  <c r="K49" i="3"/>
  <c r="L49" s="1"/>
  <c r="N49" s="1"/>
  <c r="J49"/>
  <c r="G49"/>
  <c r="D49"/>
  <c r="O49" l="1"/>
  <c r="P45" i="41"/>
  <c r="Q45" s="1"/>
  <c r="Q44"/>
  <c r="Q43"/>
  <c r="P43"/>
  <c r="P42"/>
  <c r="Q42" s="1"/>
  <c r="P41"/>
  <c r="Q41" s="1"/>
  <c r="P39"/>
  <c r="Q39" s="1"/>
  <c r="Q27" s="1"/>
  <c r="P38"/>
  <c r="Q38" s="1"/>
  <c r="P37"/>
  <c r="Q37" s="1"/>
  <c r="P36"/>
  <c r="Q36" s="1"/>
  <c r="P35"/>
  <c r="Q35" s="1"/>
  <c r="P34"/>
  <c r="Q34" s="1"/>
  <c r="P33"/>
  <c r="Q33" s="1"/>
  <c r="P32"/>
  <c r="Q32" s="1"/>
  <c r="P31"/>
  <c r="Q31" s="1"/>
  <c r="P30"/>
  <c r="Q30" s="1"/>
  <c r="P29"/>
  <c r="Q29" s="1"/>
  <c r="P28"/>
  <c r="Q28" s="1"/>
  <c r="O27"/>
  <c r="N27"/>
  <c r="M27"/>
  <c r="L27"/>
  <c r="K27"/>
  <c r="J27"/>
  <c r="I27"/>
  <c r="H27"/>
  <c r="G27"/>
  <c r="F27"/>
  <c r="E27"/>
  <c r="D27"/>
  <c r="C27"/>
  <c r="B27"/>
  <c r="P26"/>
  <c r="Q26" s="1"/>
  <c r="Q14" s="1"/>
  <c r="P25"/>
  <c r="Q25" s="1"/>
  <c r="P24"/>
  <c r="Q24" s="1"/>
  <c r="P23"/>
  <c r="Q23" s="1"/>
  <c r="P22"/>
  <c r="Q22" s="1"/>
  <c r="P21"/>
  <c r="Q21" s="1"/>
  <c r="P20"/>
  <c r="Q20" s="1"/>
  <c r="P19"/>
  <c r="Q19" s="1"/>
  <c r="P18"/>
  <c r="Q18" s="1"/>
  <c r="Q17"/>
  <c r="P17"/>
  <c r="P16"/>
  <c r="Q16" s="1"/>
  <c r="P15"/>
  <c r="Q15" s="1"/>
  <c r="O14"/>
  <c r="N14"/>
  <c r="M14"/>
  <c r="L14"/>
  <c r="K14"/>
  <c r="J14"/>
  <c r="I14"/>
  <c r="H14"/>
  <c r="G14"/>
  <c r="F14"/>
  <c r="E14"/>
  <c r="D14"/>
  <c r="C14"/>
  <c r="B14"/>
  <c r="E34" i="40"/>
  <c r="D34"/>
  <c r="E33"/>
  <c r="D33"/>
  <c r="E32"/>
  <c r="D32"/>
  <c r="E31"/>
  <c r="D31"/>
  <c r="E30"/>
  <c r="D30"/>
  <c r="E29"/>
  <c r="D29"/>
  <c r="E28"/>
  <c r="D28"/>
  <c r="E27"/>
  <c r="D27"/>
  <c r="E26"/>
  <c r="D26"/>
  <c r="C26"/>
  <c r="B26"/>
  <c r="E25"/>
  <c r="E13" s="1"/>
  <c r="D25"/>
  <c r="D13" s="1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C13"/>
  <c r="B13"/>
  <c r="P14" i="41" l="1"/>
  <c r="P27"/>
  <c r="M47" i="5"/>
  <c r="O47" s="1"/>
  <c r="J47"/>
  <c r="L47" s="1"/>
  <c r="I47"/>
  <c r="B47"/>
  <c r="E47" s="1"/>
  <c r="P47" l="1"/>
  <c r="R47" s="1"/>
  <c r="S47" s="1"/>
  <c r="I45" i="35" l="1"/>
  <c r="K45" s="1"/>
  <c r="G47" i="51" l="1"/>
  <c r="I47" s="1"/>
  <c r="J47" s="1"/>
  <c r="G47" i="4"/>
  <c r="K48" i="3"/>
  <c r="J48"/>
  <c r="G48"/>
  <c r="D48"/>
  <c r="L48" l="1"/>
  <c r="N48" s="1"/>
  <c r="O48" s="1"/>
  <c r="H38" i="50"/>
  <c r="G38"/>
  <c r="F38"/>
  <c r="I38" s="1"/>
  <c r="I40"/>
  <c r="I41"/>
  <c r="I43"/>
  <c r="I44"/>
  <c r="I39"/>
  <c r="I36"/>
  <c r="I37"/>
  <c r="I32"/>
  <c r="G42"/>
  <c r="H42"/>
  <c r="F42"/>
  <c r="G35"/>
  <c r="H35"/>
  <c r="F35"/>
  <c r="G28"/>
  <c r="H28"/>
  <c r="F28"/>
  <c r="C42"/>
  <c r="D42"/>
  <c r="B42"/>
  <c r="E44"/>
  <c r="I35" l="1"/>
  <c r="I28"/>
  <c r="E42"/>
  <c r="I42"/>
  <c r="I44" i="35"/>
  <c r="F44"/>
  <c r="J46" i="5"/>
  <c r="L46" s="1"/>
  <c r="M46"/>
  <c r="O46" s="1"/>
  <c r="I46"/>
  <c r="B46"/>
  <c r="E46" s="1"/>
  <c r="K44" i="35" l="1"/>
  <c r="P46" i="5"/>
  <c r="R46" s="1"/>
  <c r="S46" s="1"/>
  <c r="G46" i="51"/>
  <c r="I46" s="1"/>
  <c r="J46" s="1"/>
  <c r="G46" i="4"/>
  <c r="K47" i="3"/>
  <c r="J47"/>
  <c r="G47"/>
  <c r="D47"/>
  <c r="L47" l="1"/>
  <c r="N47" s="1"/>
  <c r="O47" s="1"/>
  <c r="M45" i="5" l="1"/>
  <c r="O45" s="1"/>
  <c r="J45"/>
  <c r="L45" s="1"/>
  <c r="F45"/>
  <c r="I45" s="1"/>
  <c r="B45"/>
  <c r="E45" s="1"/>
  <c r="P45" l="1"/>
  <c r="R45" s="1"/>
  <c r="S45" s="1"/>
  <c r="I43" i="35"/>
  <c r="F43"/>
  <c r="G45" i="51"/>
  <c r="I45" s="1"/>
  <c r="J45" s="1"/>
  <c r="G45" i="4"/>
  <c r="K46" i="3"/>
  <c r="J46"/>
  <c r="G46"/>
  <c r="D46"/>
  <c r="L46" l="1"/>
  <c r="N46" s="1"/>
  <c r="O46" s="1"/>
  <c r="K43" i="35"/>
  <c r="H11" i="50" l="1"/>
  <c r="G11"/>
  <c r="F11"/>
  <c r="M44" i="5" l="1"/>
  <c r="O44" s="1"/>
  <c r="M42"/>
  <c r="J44"/>
  <c r="L44" s="1"/>
  <c r="I44"/>
  <c r="F44"/>
  <c r="F42"/>
  <c r="B44"/>
  <c r="E44" s="1"/>
  <c r="B42"/>
  <c r="P44" l="1"/>
  <c r="R44" s="1"/>
  <c r="S44" s="1"/>
  <c r="W36" i="27"/>
  <c r="K43" i="3" l="1"/>
  <c r="I42" i="35" l="1"/>
  <c r="F42"/>
  <c r="G44" i="51"/>
  <c r="I44" s="1"/>
  <c r="J44" s="1"/>
  <c r="G44" i="4"/>
  <c r="K45" i="3"/>
  <c r="J45"/>
  <c r="G45"/>
  <c r="D45"/>
  <c r="L45" l="1"/>
  <c r="N45" s="1"/>
  <c r="O45"/>
  <c r="K42" i="35"/>
  <c r="B31" i="3"/>
  <c r="K55" i="39" l="1"/>
  <c r="I55"/>
  <c r="H55"/>
  <c r="F55"/>
  <c r="E55"/>
  <c r="D55"/>
  <c r="C55"/>
  <c r="B55"/>
  <c r="W54"/>
  <c r="V54"/>
  <c r="V55" s="1"/>
  <c r="U54"/>
  <c r="S54"/>
  <c r="S55" s="1"/>
  <c r="Q54"/>
  <c r="L54"/>
  <c r="J54"/>
  <c r="G54"/>
  <c r="K53"/>
  <c r="I53"/>
  <c r="H53"/>
  <c r="F53"/>
  <c r="E53"/>
  <c r="D53"/>
  <c r="C53"/>
  <c r="B53"/>
  <c r="W52"/>
  <c r="V52"/>
  <c r="V53" s="1"/>
  <c r="U52"/>
  <c r="S52"/>
  <c r="S53" s="1"/>
  <c r="Q52"/>
  <c r="L52"/>
  <c r="J52"/>
  <c r="G52"/>
  <c r="K51"/>
  <c r="I51"/>
  <c r="H51"/>
  <c r="F51"/>
  <c r="E51"/>
  <c r="D51"/>
  <c r="C51"/>
  <c r="B51"/>
  <c r="W50"/>
  <c r="V50"/>
  <c r="V51" s="1"/>
  <c r="U50"/>
  <c r="S50"/>
  <c r="S51" s="1"/>
  <c r="Q50"/>
  <c r="L50"/>
  <c r="J50"/>
  <c r="G50"/>
  <c r="S49"/>
  <c r="K49"/>
  <c r="I49"/>
  <c r="H49"/>
  <c r="F49"/>
  <c r="E49"/>
  <c r="D49"/>
  <c r="C49"/>
  <c r="B49"/>
  <c r="W48"/>
  <c r="V48"/>
  <c r="V49" s="1"/>
  <c r="U48"/>
  <c r="Q48"/>
  <c r="L48"/>
  <c r="J48"/>
  <c r="G48"/>
  <c r="V47"/>
  <c r="S47"/>
  <c r="K47"/>
  <c r="I47"/>
  <c r="H47"/>
  <c r="F47"/>
  <c r="E47"/>
  <c r="D47"/>
  <c r="C47"/>
  <c r="B47"/>
  <c r="Q46"/>
  <c r="L46"/>
  <c r="J46"/>
  <c r="G46"/>
  <c r="V45"/>
  <c r="S45"/>
  <c r="K45"/>
  <c r="I45"/>
  <c r="H45"/>
  <c r="F45"/>
  <c r="E45"/>
  <c r="D45"/>
  <c r="C45"/>
  <c r="B45"/>
  <c r="Q44"/>
  <c r="L44"/>
  <c r="J44"/>
  <c r="G44"/>
  <c r="V43"/>
  <c r="S43"/>
  <c r="K43"/>
  <c r="I43"/>
  <c r="H43"/>
  <c r="F43"/>
  <c r="E43"/>
  <c r="D43"/>
  <c r="C43"/>
  <c r="B43"/>
  <c r="Q42"/>
  <c r="L42"/>
  <c r="J42"/>
  <c r="G42"/>
  <c r="V41"/>
  <c r="S41"/>
  <c r="K41"/>
  <c r="I41"/>
  <c r="H41"/>
  <c r="F41"/>
  <c r="E41"/>
  <c r="D41"/>
  <c r="C41"/>
  <c r="B41"/>
  <c r="Q40"/>
  <c r="L40"/>
  <c r="J40"/>
  <c r="G40"/>
  <c r="V39"/>
  <c r="S39"/>
  <c r="K39"/>
  <c r="I39"/>
  <c r="H39"/>
  <c r="F39"/>
  <c r="E39"/>
  <c r="D39"/>
  <c r="C39"/>
  <c r="B39"/>
  <c r="Q38"/>
  <c r="L38"/>
  <c r="J38"/>
  <c r="G38"/>
  <c r="V37"/>
  <c r="S37"/>
  <c r="K37"/>
  <c r="I37"/>
  <c r="H37"/>
  <c r="F37"/>
  <c r="E37"/>
  <c r="D37"/>
  <c r="C37"/>
  <c r="B37"/>
  <c r="Q36"/>
  <c r="L36"/>
  <c r="J36"/>
  <c r="G36"/>
  <c r="V35"/>
  <c r="S35"/>
  <c r="K35"/>
  <c r="I35"/>
  <c r="H35"/>
  <c r="F35"/>
  <c r="E35"/>
  <c r="D35"/>
  <c r="C35"/>
  <c r="B35"/>
  <c r="Q34"/>
  <c r="L34"/>
  <c r="J34"/>
  <c r="G34"/>
  <c r="V33"/>
  <c r="S33"/>
  <c r="K33"/>
  <c r="I33"/>
  <c r="H33"/>
  <c r="F33"/>
  <c r="E33"/>
  <c r="D33"/>
  <c r="C33"/>
  <c r="B33"/>
  <c r="Q32"/>
  <c r="L32"/>
  <c r="J32"/>
  <c r="G32"/>
  <c r="V31"/>
  <c r="S31"/>
  <c r="K31"/>
  <c r="I31"/>
  <c r="H31"/>
  <c r="F31"/>
  <c r="E31"/>
  <c r="D31"/>
  <c r="C31"/>
  <c r="B31"/>
  <c r="Q30"/>
  <c r="L30"/>
  <c r="J30"/>
  <c r="G30"/>
  <c r="V29"/>
  <c r="S29"/>
  <c r="K29"/>
  <c r="I29"/>
  <c r="H29"/>
  <c r="F29"/>
  <c r="E29"/>
  <c r="D29"/>
  <c r="C29"/>
  <c r="B29"/>
  <c r="Q28"/>
  <c r="L28"/>
  <c r="J28"/>
  <c r="G28"/>
  <c r="V27"/>
  <c r="S27"/>
  <c r="K27"/>
  <c r="I27"/>
  <c r="H27"/>
  <c r="F27"/>
  <c r="E27"/>
  <c r="D27"/>
  <c r="C27"/>
  <c r="B27"/>
  <c r="Q26"/>
  <c r="L26"/>
  <c r="J26"/>
  <c r="G26"/>
  <c r="V25"/>
  <c r="S25"/>
  <c r="K25"/>
  <c r="I25"/>
  <c r="H25"/>
  <c r="F25"/>
  <c r="E25"/>
  <c r="D25"/>
  <c r="C25"/>
  <c r="B25"/>
  <c r="L24"/>
  <c r="J24"/>
  <c r="G24"/>
  <c r="V23"/>
  <c r="S23"/>
  <c r="K23"/>
  <c r="I23"/>
  <c r="H23"/>
  <c r="F23"/>
  <c r="E23"/>
  <c r="D23"/>
  <c r="C23"/>
  <c r="B23"/>
  <c r="L22"/>
  <c r="J22"/>
  <c r="G22"/>
  <c r="V21"/>
  <c r="S21"/>
  <c r="K21"/>
  <c r="I21"/>
  <c r="H21"/>
  <c r="F21"/>
  <c r="E21"/>
  <c r="D21"/>
  <c r="C21"/>
  <c r="B21"/>
  <c r="L20"/>
  <c r="J20"/>
  <c r="G20"/>
  <c r="V19"/>
  <c r="S19"/>
  <c r="K19"/>
  <c r="I19"/>
  <c r="H19"/>
  <c r="F19"/>
  <c r="E19"/>
  <c r="D19"/>
  <c r="C19"/>
  <c r="B19"/>
  <c r="Q53" i="38"/>
  <c r="S53" s="1"/>
  <c r="Q51"/>
  <c r="S51" s="1"/>
  <c r="E52" s="1"/>
  <c r="Q49"/>
  <c r="S49" s="1"/>
  <c r="S47"/>
  <c r="K48" s="1"/>
  <c r="Q47"/>
  <c r="Q45"/>
  <c r="S45" s="1"/>
  <c r="Q43"/>
  <c r="Q41"/>
  <c r="S41" s="1"/>
  <c r="Q39"/>
  <c r="S39" s="1"/>
  <c r="K40" s="1"/>
  <c r="Q37"/>
  <c r="Q35"/>
  <c r="S33"/>
  <c r="N34" s="1"/>
  <c r="Q33"/>
  <c r="Q31"/>
  <c r="S31" s="1"/>
  <c r="K32" s="1"/>
  <c r="Q29"/>
  <c r="S29" s="1"/>
  <c r="H30" s="1"/>
  <c r="Q27"/>
  <c r="S27" s="1"/>
  <c r="E28" s="1"/>
  <c r="Q25"/>
  <c r="S25" s="1"/>
  <c r="Q23"/>
  <c r="S23" s="1"/>
  <c r="Q21"/>
  <c r="S21" s="1"/>
  <c r="H22" s="1"/>
  <c r="Q19"/>
  <c r="S19" s="1"/>
  <c r="Q17"/>
  <c r="S17" s="1"/>
  <c r="Q15"/>
  <c r="S15" s="1"/>
  <c r="K16" s="1"/>
  <c r="Q13"/>
  <c r="S13" s="1"/>
  <c r="H14" s="1"/>
  <c r="Q11"/>
  <c r="S11" s="1"/>
  <c r="Q9"/>
  <c r="S9" s="1"/>
  <c r="Q7"/>
  <c r="S7" s="1"/>
  <c r="K8" s="1"/>
  <c r="Q5"/>
  <c r="S5" s="1"/>
  <c r="H6" s="1"/>
  <c r="Q53" i="37"/>
  <c r="S53" s="1"/>
  <c r="Q51"/>
  <c r="S51" s="1"/>
  <c r="Q49"/>
  <c r="S49" s="1"/>
  <c r="Q47"/>
  <c r="S47" s="1"/>
  <c r="N48" s="1"/>
  <c r="Q45"/>
  <c r="S45" s="1"/>
  <c r="Q43"/>
  <c r="S43" s="1"/>
  <c r="K44" s="1"/>
  <c r="Q41"/>
  <c r="S41" s="1"/>
  <c r="Q39"/>
  <c r="S39" s="1"/>
  <c r="Q37"/>
  <c r="S37" s="1"/>
  <c r="Q35"/>
  <c r="S35" s="1"/>
  <c r="Q33"/>
  <c r="S33" s="1"/>
  <c r="Q31"/>
  <c r="Q29"/>
  <c r="S29" s="1"/>
  <c r="Q27"/>
  <c r="S27" s="1"/>
  <c r="Q25"/>
  <c r="S25" s="1"/>
  <c r="Q23"/>
  <c r="S23" s="1"/>
  <c r="N24" s="1"/>
  <c r="Q21"/>
  <c r="S21" s="1"/>
  <c r="Q19"/>
  <c r="S19" s="1"/>
  <c r="Q17"/>
  <c r="S17" s="1"/>
  <c r="S16"/>
  <c r="P16"/>
  <c r="O16"/>
  <c r="N16"/>
  <c r="M16"/>
  <c r="L16"/>
  <c r="K16"/>
  <c r="J16"/>
  <c r="I16"/>
  <c r="H16"/>
  <c r="G16"/>
  <c r="F16"/>
  <c r="E16"/>
  <c r="D16"/>
  <c r="C16"/>
  <c r="B16"/>
  <c r="U15"/>
  <c r="Q15"/>
  <c r="Q16" s="1"/>
  <c r="S14"/>
  <c r="R14"/>
  <c r="P14"/>
  <c r="O14"/>
  <c r="N14"/>
  <c r="M14"/>
  <c r="L14"/>
  <c r="K14"/>
  <c r="J14"/>
  <c r="I14"/>
  <c r="H14"/>
  <c r="G14"/>
  <c r="F14"/>
  <c r="E14"/>
  <c r="D14"/>
  <c r="C14"/>
  <c r="B14"/>
  <c r="U13"/>
  <c r="Q13"/>
  <c r="Q14" s="1"/>
  <c r="S12"/>
  <c r="R12"/>
  <c r="P12"/>
  <c r="O12"/>
  <c r="N12"/>
  <c r="M12"/>
  <c r="L12"/>
  <c r="K12"/>
  <c r="J12"/>
  <c r="I12"/>
  <c r="H12"/>
  <c r="G12"/>
  <c r="F12"/>
  <c r="E12"/>
  <c r="D12"/>
  <c r="C12"/>
  <c r="B12"/>
  <c r="Q11"/>
  <c r="Q12" s="1"/>
  <c r="S10"/>
  <c r="R10"/>
  <c r="P10"/>
  <c r="O10"/>
  <c r="N10"/>
  <c r="M10"/>
  <c r="L10"/>
  <c r="K10"/>
  <c r="J10"/>
  <c r="I10"/>
  <c r="H10"/>
  <c r="G10"/>
  <c r="F10"/>
  <c r="E10"/>
  <c r="D10"/>
  <c r="C10"/>
  <c r="B10"/>
  <c r="U9"/>
  <c r="Q9"/>
  <c r="Q10" s="1"/>
  <c r="S8"/>
  <c r="R8"/>
  <c r="P8"/>
  <c r="O8"/>
  <c r="N8"/>
  <c r="M8"/>
  <c r="L8"/>
  <c r="K8"/>
  <c r="J8"/>
  <c r="I8"/>
  <c r="H8"/>
  <c r="G8"/>
  <c r="F8"/>
  <c r="E8"/>
  <c r="D8"/>
  <c r="C8"/>
  <c r="B8"/>
  <c r="U7"/>
  <c r="Q7"/>
  <c r="Q8" s="1"/>
  <c r="S6"/>
  <c r="R6"/>
  <c r="P6"/>
  <c r="O6"/>
  <c r="N6"/>
  <c r="M6"/>
  <c r="L6"/>
  <c r="K6"/>
  <c r="J6"/>
  <c r="I6"/>
  <c r="H6"/>
  <c r="G6"/>
  <c r="F6"/>
  <c r="E6"/>
  <c r="D6"/>
  <c r="C6"/>
  <c r="B6"/>
  <c r="U5"/>
  <c r="Q5"/>
  <c r="Q6" s="1"/>
  <c r="E31" i="3"/>
  <c r="F31"/>
  <c r="H31"/>
  <c r="I31"/>
  <c r="M31"/>
  <c r="C31"/>
  <c r="C30" i="5"/>
  <c r="D30"/>
  <c r="F30"/>
  <c r="G30"/>
  <c r="H30"/>
  <c r="K30"/>
  <c r="M30"/>
  <c r="N30"/>
  <c r="Q30"/>
  <c r="B30"/>
  <c r="E43" i="50"/>
  <c r="H54" i="38" l="1"/>
  <c r="B54"/>
  <c r="K20" i="37"/>
  <c r="I20"/>
  <c r="K24" i="38"/>
  <c r="C24"/>
  <c r="H46"/>
  <c r="C46"/>
  <c r="C34"/>
  <c r="E20"/>
  <c r="I20"/>
  <c r="K52" i="37"/>
  <c r="G52"/>
  <c r="F52"/>
  <c r="N50" i="38"/>
  <c r="C50"/>
  <c r="N10"/>
  <c r="F10"/>
  <c r="C10"/>
  <c r="K28" i="37"/>
  <c r="G28"/>
  <c r="F28"/>
  <c r="E12" i="38"/>
  <c r="U11"/>
  <c r="M24" i="37"/>
  <c r="M48"/>
  <c r="G8" i="38"/>
  <c r="O34"/>
  <c r="R15" i="37"/>
  <c r="R16" s="1"/>
  <c r="O8" i="38"/>
  <c r="R34"/>
  <c r="R8"/>
  <c r="J20" i="37"/>
  <c r="U23"/>
  <c r="I44"/>
  <c r="U47"/>
  <c r="F8" i="38"/>
  <c r="O24"/>
  <c r="I28"/>
  <c r="F34"/>
  <c r="I46"/>
  <c r="N42"/>
  <c r="J42"/>
  <c r="C42"/>
  <c r="F42"/>
  <c r="I42"/>
  <c r="O42"/>
  <c r="R42"/>
  <c r="N26"/>
  <c r="F26"/>
  <c r="O26"/>
  <c r="R26"/>
  <c r="C26"/>
  <c r="I26"/>
  <c r="J26"/>
  <c r="N18"/>
  <c r="C18"/>
  <c r="F18"/>
  <c r="J18"/>
  <c r="I18"/>
  <c r="O18"/>
  <c r="R18"/>
  <c r="R50"/>
  <c r="O16"/>
  <c r="O50"/>
  <c r="J10"/>
  <c r="F16"/>
  <c r="I50"/>
  <c r="S16"/>
  <c r="Q52"/>
  <c r="Q12"/>
  <c r="R10"/>
  <c r="Q46"/>
  <c r="I10"/>
  <c r="C16"/>
  <c r="S35"/>
  <c r="E36" s="1"/>
  <c r="F50"/>
  <c r="Q6"/>
  <c r="Q30"/>
  <c r="Q14"/>
  <c r="J34"/>
  <c r="S8"/>
  <c r="I12"/>
  <c r="Q28"/>
  <c r="I34"/>
  <c r="Q54"/>
  <c r="Q22"/>
  <c r="R16"/>
  <c r="C8"/>
  <c r="O10"/>
  <c r="G16"/>
  <c r="Q20"/>
  <c r="C32"/>
  <c r="S37"/>
  <c r="Q38" s="1"/>
  <c r="J50"/>
  <c r="N40" i="37"/>
  <c r="L40"/>
  <c r="M40"/>
  <c r="U39"/>
  <c r="K36"/>
  <c r="F36"/>
  <c r="G36"/>
  <c r="I36"/>
  <c r="J36"/>
  <c r="L36"/>
  <c r="R36"/>
  <c r="S36"/>
  <c r="H36"/>
  <c r="Q48"/>
  <c r="S20"/>
  <c r="I28"/>
  <c r="S44"/>
  <c r="I52"/>
  <c r="S52"/>
  <c r="R28"/>
  <c r="R20"/>
  <c r="H28"/>
  <c r="R44"/>
  <c r="H52"/>
  <c r="Q40"/>
  <c r="J44"/>
  <c r="H20"/>
  <c r="H44"/>
  <c r="G20"/>
  <c r="G44"/>
  <c r="F20"/>
  <c r="S31"/>
  <c r="Q32" s="1"/>
  <c r="F44"/>
  <c r="S28"/>
  <c r="Q24"/>
  <c r="R52"/>
  <c r="J28"/>
  <c r="J52"/>
  <c r="I6" i="38"/>
  <c r="F12"/>
  <c r="F20"/>
  <c r="F28"/>
  <c r="I30"/>
  <c r="G6"/>
  <c r="S6"/>
  <c r="J8"/>
  <c r="U9"/>
  <c r="M10"/>
  <c r="D12"/>
  <c r="P12"/>
  <c r="G14"/>
  <c r="S14"/>
  <c r="J16"/>
  <c r="U17"/>
  <c r="M18"/>
  <c r="D20"/>
  <c r="P20"/>
  <c r="G22"/>
  <c r="S22"/>
  <c r="J24"/>
  <c r="U25"/>
  <c r="M26"/>
  <c r="D28"/>
  <c r="P28"/>
  <c r="G30"/>
  <c r="S30"/>
  <c r="J32"/>
  <c r="U33"/>
  <c r="M34"/>
  <c r="G38"/>
  <c r="S38"/>
  <c r="J40"/>
  <c r="U41"/>
  <c r="M42"/>
  <c r="G46"/>
  <c r="S46"/>
  <c r="J48"/>
  <c r="U49"/>
  <c r="M50"/>
  <c r="D52"/>
  <c r="P52"/>
  <c r="G54"/>
  <c r="S54"/>
  <c r="F6"/>
  <c r="R6"/>
  <c r="I8"/>
  <c r="L10"/>
  <c r="C12"/>
  <c r="O12"/>
  <c r="F14"/>
  <c r="R14"/>
  <c r="I16"/>
  <c r="L18"/>
  <c r="C20"/>
  <c r="O20"/>
  <c r="F22"/>
  <c r="R22"/>
  <c r="I24"/>
  <c r="L26"/>
  <c r="C28"/>
  <c r="F30"/>
  <c r="R30"/>
  <c r="I32"/>
  <c r="L34"/>
  <c r="F38"/>
  <c r="R38"/>
  <c r="I40"/>
  <c r="L42"/>
  <c r="F46"/>
  <c r="R46"/>
  <c r="I48"/>
  <c r="L50"/>
  <c r="C52"/>
  <c r="O52"/>
  <c r="F54"/>
  <c r="R54"/>
  <c r="O28"/>
  <c r="E6"/>
  <c r="H8"/>
  <c r="K10"/>
  <c r="B12"/>
  <c r="N12"/>
  <c r="E14"/>
  <c r="H16"/>
  <c r="K18"/>
  <c r="B20"/>
  <c r="N20"/>
  <c r="E22"/>
  <c r="H24"/>
  <c r="K26"/>
  <c r="B28"/>
  <c r="N28"/>
  <c r="E30"/>
  <c r="H32"/>
  <c r="K34"/>
  <c r="E38"/>
  <c r="H40"/>
  <c r="K42"/>
  <c r="E46"/>
  <c r="H48"/>
  <c r="K50"/>
  <c r="B52"/>
  <c r="N52"/>
  <c r="E54"/>
  <c r="D6"/>
  <c r="P6"/>
  <c r="M12"/>
  <c r="D14"/>
  <c r="P14"/>
  <c r="U19"/>
  <c r="M20"/>
  <c r="D22"/>
  <c r="P22"/>
  <c r="G24"/>
  <c r="S24"/>
  <c r="U27"/>
  <c r="M28"/>
  <c r="D30"/>
  <c r="P30"/>
  <c r="G32"/>
  <c r="S32"/>
  <c r="D38"/>
  <c r="P38"/>
  <c r="G40"/>
  <c r="S40"/>
  <c r="D46"/>
  <c r="P46"/>
  <c r="G48"/>
  <c r="S48"/>
  <c r="U51"/>
  <c r="M52"/>
  <c r="D54"/>
  <c r="P54"/>
  <c r="C6"/>
  <c r="L12"/>
  <c r="C14"/>
  <c r="O14"/>
  <c r="L20"/>
  <c r="C22"/>
  <c r="O22"/>
  <c r="F24"/>
  <c r="R24"/>
  <c r="L28"/>
  <c r="C30"/>
  <c r="O30"/>
  <c r="F32"/>
  <c r="R32"/>
  <c r="C38"/>
  <c r="O38"/>
  <c r="F40"/>
  <c r="R40"/>
  <c r="S43"/>
  <c r="Q44" s="1"/>
  <c r="O46"/>
  <c r="F48"/>
  <c r="R48"/>
  <c r="L52"/>
  <c r="C54"/>
  <c r="O54"/>
  <c r="E8"/>
  <c r="B14"/>
  <c r="N14"/>
  <c r="E16"/>
  <c r="H18"/>
  <c r="K20"/>
  <c r="B22"/>
  <c r="N22"/>
  <c r="Q24"/>
  <c r="H26"/>
  <c r="K28"/>
  <c r="B30"/>
  <c r="N30"/>
  <c r="E32"/>
  <c r="Q32"/>
  <c r="H34"/>
  <c r="B38"/>
  <c r="N38"/>
  <c r="E40"/>
  <c r="Q40"/>
  <c r="H42"/>
  <c r="B46"/>
  <c r="N46"/>
  <c r="E48"/>
  <c r="Q48"/>
  <c r="H50"/>
  <c r="K52"/>
  <c r="N54"/>
  <c r="O6"/>
  <c r="B6"/>
  <c r="N6"/>
  <c r="Q8"/>
  <c r="H10"/>
  <c r="K12"/>
  <c r="Q16"/>
  <c r="E24"/>
  <c r="U5"/>
  <c r="M6"/>
  <c r="D8"/>
  <c r="P8"/>
  <c r="G10"/>
  <c r="S10"/>
  <c r="J12"/>
  <c r="U13"/>
  <c r="M14"/>
  <c r="D16"/>
  <c r="P16"/>
  <c r="G18"/>
  <c r="S18"/>
  <c r="J20"/>
  <c r="U21"/>
  <c r="M22"/>
  <c r="D24"/>
  <c r="P24"/>
  <c r="G26"/>
  <c r="S26"/>
  <c r="J28"/>
  <c r="U29"/>
  <c r="M30"/>
  <c r="D32"/>
  <c r="P32"/>
  <c r="G34"/>
  <c r="S34"/>
  <c r="U37"/>
  <c r="M38"/>
  <c r="D40"/>
  <c r="P40"/>
  <c r="G42"/>
  <c r="S42"/>
  <c r="U45"/>
  <c r="M46"/>
  <c r="D48"/>
  <c r="P48"/>
  <c r="G50"/>
  <c r="S50"/>
  <c r="J52"/>
  <c r="U53"/>
  <c r="M54"/>
  <c r="L6"/>
  <c r="L14"/>
  <c r="L22"/>
  <c r="L30"/>
  <c r="O32"/>
  <c r="L38"/>
  <c r="C40"/>
  <c r="O40"/>
  <c r="L46"/>
  <c r="C48"/>
  <c r="O48"/>
  <c r="I52"/>
  <c r="L54"/>
  <c r="K6"/>
  <c r="B8"/>
  <c r="N8"/>
  <c r="E10"/>
  <c r="Q10"/>
  <c r="H12"/>
  <c r="K14"/>
  <c r="B16"/>
  <c r="N16"/>
  <c r="E18"/>
  <c r="Q18"/>
  <c r="H20"/>
  <c r="K22"/>
  <c r="B24"/>
  <c r="N24"/>
  <c r="E26"/>
  <c r="Q26"/>
  <c r="H28"/>
  <c r="K30"/>
  <c r="B32"/>
  <c r="N32"/>
  <c r="E34"/>
  <c r="Q34"/>
  <c r="K38"/>
  <c r="B40"/>
  <c r="N40"/>
  <c r="E42"/>
  <c r="Q42"/>
  <c r="K46"/>
  <c r="B48"/>
  <c r="N48"/>
  <c r="E50"/>
  <c r="Q50"/>
  <c r="H52"/>
  <c r="K54"/>
  <c r="J6"/>
  <c r="U7"/>
  <c r="M8"/>
  <c r="D10"/>
  <c r="P10"/>
  <c r="G12"/>
  <c r="S12"/>
  <c r="J14"/>
  <c r="U15"/>
  <c r="M16"/>
  <c r="D18"/>
  <c r="P18"/>
  <c r="G20"/>
  <c r="S20"/>
  <c r="J22"/>
  <c r="U23"/>
  <c r="M24"/>
  <c r="D26"/>
  <c r="P26"/>
  <c r="G28"/>
  <c r="S28"/>
  <c r="J30"/>
  <c r="U31"/>
  <c r="M32"/>
  <c r="D34"/>
  <c r="P34"/>
  <c r="J38"/>
  <c r="U39"/>
  <c r="M40"/>
  <c r="D42"/>
  <c r="P42"/>
  <c r="J46"/>
  <c r="U47"/>
  <c r="M48"/>
  <c r="D50"/>
  <c r="P50"/>
  <c r="G52"/>
  <c r="S52"/>
  <c r="J54"/>
  <c r="R12"/>
  <c r="L16"/>
  <c r="R20"/>
  <c r="L24"/>
  <c r="R28"/>
  <c r="L32"/>
  <c r="R36"/>
  <c r="L40"/>
  <c r="L48"/>
  <c r="F52"/>
  <c r="R52"/>
  <c r="I54"/>
  <c r="L8"/>
  <c r="I14"/>
  <c r="I22"/>
  <c r="B10"/>
  <c r="B18"/>
  <c r="B26"/>
  <c r="B34"/>
  <c r="B42"/>
  <c r="B50"/>
  <c r="Q42" i="37"/>
  <c r="E42"/>
  <c r="R42"/>
  <c r="F42"/>
  <c r="S42"/>
  <c r="G42"/>
  <c r="H42"/>
  <c r="I42"/>
  <c r="J42"/>
  <c r="B42"/>
  <c r="O42"/>
  <c r="C42"/>
  <c r="P42"/>
  <c r="K42"/>
  <c r="U41"/>
  <c r="N42"/>
  <c r="D42"/>
  <c r="L42"/>
  <c r="M42"/>
  <c r="K54"/>
  <c r="L54"/>
  <c r="M54"/>
  <c r="U53"/>
  <c r="J54"/>
  <c r="N54"/>
  <c r="B54"/>
  <c r="O54"/>
  <c r="C54"/>
  <c r="P54"/>
  <c r="D54"/>
  <c r="E54"/>
  <c r="G54"/>
  <c r="R54"/>
  <c r="F54"/>
  <c r="S54"/>
  <c r="H54"/>
  <c r="I54"/>
  <c r="K22"/>
  <c r="L22"/>
  <c r="M22"/>
  <c r="U21"/>
  <c r="J22"/>
  <c r="N22"/>
  <c r="B22"/>
  <c r="O22"/>
  <c r="C22"/>
  <c r="P22"/>
  <c r="D22"/>
  <c r="I22"/>
  <c r="E22"/>
  <c r="H22"/>
  <c r="R22"/>
  <c r="F22"/>
  <c r="S22"/>
  <c r="G22"/>
  <c r="K46"/>
  <c r="L46"/>
  <c r="M46"/>
  <c r="U45"/>
  <c r="N46"/>
  <c r="B46"/>
  <c r="O46"/>
  <c r="C46"/>
  <c r="P46"/>
  <c r="D46"/>
  <c r="H46"/>
  <c r="E46"/>
  <c r="G46"/>
  <c r="J46"/>
  <c r="R46"/>
  <c r="F46"/>
  <c r="S46"/>
  <c r="I46"/>
  <c r="K30"/>
  <c r="L30"/>
  <c r="M30"/>
  <c r="U29"/>
  <c r="N30"/>
  <c r="B30"/>
  <c r="O30"/>
  <c r="C30"/>
  <c r="P30"/>
  <c r="D30"/>
  <c r="H30"/>
  <c r="I30"/>
  <c r="E30"/>
  <c r="R30"/>
  <c r="F30"/>
  <c r="S30"/>
  <c r="G30"/>
  <c r="J30"/>
  <c r="P18"/>
  <c r="Q18"/>
  <c r="E18"/>
  <c r="R18"/>
  <c r="F18"/>
  <c r="S18"/>
  <c r="G18"/>
  <c r="H18"/>
  <c r="I18"/>
  <c r="D18"/>
  <c r="J18"/>
  <c r="N18"/>
  <c r="K18"/>
  <c r="B18"/>
  <c r="C18"/>
  <c r="L18"/>
  <c r="M18"/>
  <c r="U17"/>
  <c r="O18"/>
  <c r="K38"/>
  <c r="L38"/>
  <c r="M38"/>
  <c r="U37"/>
  <c r="N38"/>
  <c r="B38"/>
  <c r="O38"/>
  <c r="C38"/>
  <c r="J38"/>
  <c r="P38"/>
  <c r="D38"/>
  <c r="E38"/>
  <c r="G38"/>
  <c r="I38"/>
  <c r="R38"/>
  <c r="F38"/>
  <c r="S38"/>
  <c r="H38"/>
  <c r="Q50"/>
  <c r="E50"/>
  <c r="R50"/>
  <c r="F50"/>
  <c r="S50"/>
  <c r="G50"/>
  <c r="H50"/>
  <c r="I50"/>
  <c r="J50"/>
  <c r="O50"/>
  <c r="C50"/>
  <c r="P50"/>
  <c r="K50"/>
  <c r="M50"/>
  <c r="N50"/>
  <c r="B50"/>
  <c r="D50"/>
  <c r="L50"/>
  <c r="U49"/>
  <c r="P34"/>
  <c r="Q34"/>
  <c r="E34"/>
  <c r="R34"/>
  <c r="F34"/>
  <c r="S34"/>
  <c r="G34"/>
  <c r="H34"/>
  <c r="I34"/>
  <c r="J34"/>
  <c r="U33"/>
  <c r="N34"/>
  <c r="O34"/>
  <c r="K34"/>
  <c r="M34"/>
  <c r="B34"/>
  <c r="D34"/>
  <c r="L34"/>
  <c r="C34"/>
  <c r="Q26"/>
  <c r="E26"/>
  <c r="R26"/>
  <c r="F26"/>
  <c r="S26"/>
  <c r="G26"/>
  <c r="H26"/>
  <c r="I26"/>
  <c r="D26"/>
  <c r="P26"/>
  <c r="J26"/>
  <c r="N26"/>
  <c r="B26"/>
  <c r="O26"/>
  <c r="K26"/>
  <c r="U25"/>
  <c r="L26"/>
  <c r="M26"/>
  <c r="C26"/>
  <c r="Q20"/>
  <c r="Q44"/>
  <c r="D20"/>
  <c r="J24"/>
  <c r="D28"/>
  <c r="D36"/>
  <c r="P36"/>
  <c r="J40"/>
  <c r="P44"/>
  <c r="D52"/>
  <c r="C20"/>
  <c r="O20"/>
  <c r="I24"/>
  <c r="C28"/>
  <c r="O28"/>
  <c r="I32"/>
  <c r="C36"/>
  <c r="O36"/>
  <c r="I40"/>
  <c r="C44"/>
  <c r="O44"/>
  <c r="I48"/>
  <c r="C52"/>
  <c r="O52"/>
  <c r="E28"/>
  <c r="Q52"/>
  <c r="P20"/>
  <c r="P28"/>
  <c r="D44"/>
  <c r="J48"/>
  <c r="P52"/>
  <c r="B20"/>
  <c r="N20"/>
  <c r="Q22"/>
  <c r="H24"/>
  <c r="B28"/>
  <c r="N28"/>
  <c r="Q30"/>
  <c r="H32"/>
  <c r="B36"/>
  <c r="N36"/>
  <c r="Q38"/>
  <c r="H40"/>
  <c r="B44"/>
  <c r="N44"/>
  <c r="Q46"/>
  <c r="H48"/>
  <c r="B52"/>
  <c r="N52"/>
  <c r="Q54"/>
  <c r="L24"/>
  <c r="L48"/>
  <c r="E20"/>
  <c r="K24"/>
  <c r="Q28"/>
  <c r="K32"/>
  <c r="E36"/>
  <c r="Q36"/>
  <c r="K40"/>
  <c r="E44"/>
  <c r="K48"/>
  <c r="E52"/>
  <c r="U19"/>
  <c r="M20"/>
  <c r="G24"/>
  <c r="S24"/>
  <c r="U27"/>
  <c r="M28"/>
  <c r="U35"/>
  <c r="M36"/>
  <c r="G40"/>
  <c r="S40"/>
  <c r="U43"/>
  <c r="M44"/>
  <c r="G48"/>
  <c r="S48"/>
  <c r="U51"/>
  <c r="M52"/>
  <c r="R24"/>
  <c r="R40"/>
  <c r="F48"/>
  <c r="L20"/>
  <c r="F24"/>
  <c r="L28"/>
  <c r="F32"/>
  <c r="R32"/>
  <c r="F40"/>
  <c r="L44"/>
  <c r="R48"/>
  <c r="L52"/>
  <c r="E24"/>
  <c r="E40"/>
  <c r="E48"/>
  <c r="D24"/>
  <c r="P24"/>
  <c r="D32"/>
  <c r="P32"/>
  <c r="D40"/>
  <c r="P40"/>
  <c r="D48"/>
  <c r="P48"/>
  <c r="C24"/>
  <c r="O24"/>
  <c r="C32"/>
  <c r="O32"/>
  <c r="C40"/>
  <c r="O40"/>
  <c r="C48"/>
  <c r="O48"/>
  <c r="B24"/>
  <c r="B40"/>
  <c r="B48"/>
  <c r="L29" i="2"/>
  <c r="F36" i="38" l="1"/>
  <c r="S36"/>
  <c r="H36"/>
  <c r="I36"/>
  <c r="B32" i="37"/>
  <c r="E32"/>
  <c r="S32"/>
  <c r="G36" i="38"/>
  <c r="J36"/>
  <c r="M36"/>
  <c r="N36"/>
  <c r="G32" i="37"/>
  <c r="J32"/>
  <c r="K36" i="38"/>
  <c r="L36"/>
  <c r="U35"/>
  <c r="B36"/>
  <c r="O36"/>
  <c r="D36"/>
  <c r="Q36"/>
  <c r="H38"/>
  <c r="I38"/>
  <c r="C36"/>
  <c r="P36"/>
  <c r="N32" i="37"/>
  <c r="U31"/>
  <c r="L32"/>
  <c r="M32"/>
  <c r="E44" i="38"/>
  <c r="R44"/>
  <c r="F44"/>
  <c r="S44"/>
  <c r="G44"/>
  <c r="H44"/>
  <c r="I44"/>
  <c r="J44"/>
  <c r="K44"/>
  <c r="L44"/>
  <c r="M44"/>
  <c r="U43"/>
  <c r="N44"/>
  <c r="B44"/>
  <c r="O44"/>
  <c r="C44"/>
  <c r="P44"/>
  <c r="D44"/>
  <c r="O42" i="5" l="1"/>
  <c r="O30" s="1"/>
  <c r="J42"/>
  <c r="J30" s="1"/>
  <c r="I42"/>
  <c r="I30" s="1"/>
  <c r="E42"/>
  <c r="L42" l="1"/>
  <c r="L30" s="1"/>
  <c r="E30"/>
  <c r="H30" i="51"/>
  <c r="F30"/>
  <c r="E30"/>
  <c r="D30"/>
  <c r="C30"/>
  <c r="B30"/>
  <c r="J28" i="35"/>
  <c r="H28"/>
  <c r="G28"/>
  <c r="E28"/>
  <c r="D28"/>
  <c r="C28"/>
  <c r="B28"/>
  <c r="I40"/>
  <c r="I28" s="1"/>
  <c r="F40"/>
  <c r="F28" s="1"/>
  <c r="G42" i="51"/>
  <c r="G30" s="1"/>
  <c r="F30" i="4"/>
  <c r="E30"/>
  <c r="D30"/>
  <c r="C30"/>
  <c r="B30"/>
  <c r="G42"/>
  <c r="G30" s="1"/>
  <c r="K31" i="3"/>
  <c r="J43"/>
  <c r="J31" s="1"/>
  <c r="G43"/>
  <c r="G31" s="1"/>
  <c r="D43"/>
  <c r="D31" s="1"/>
  <c r="P42" i="5" l="1"/>
  <c r="P30" s="1"/>
  <c r="K40" i="35"/>
  <c r="K28" s="1"/>
  <c r="I42" i="51"/>
  <c r="L43" i="3"/>
  <c r="O29" i="2"/>
  <c r="M29"/>
  <c r="K29"/>
  <c r="D29"/>
  <c r="B29"/>
  <c r="R42" i="5" l="1"/>
  <c r="S42" s="1"/>
  <c r="S30" s="1"/>
  <c r="J42" i="51"/>
  <c r="J30" s="1"/>
  <c r="I30"/>
  <c r="L31" i="3"/>
  <c r="N43"/>
  <c r="AC28" i="43"/>
  <c r="AD28"/>
  <c r="AE28"/>
  <c r="AF28"/>
  <c r="AG28"/>
  <c r="AH28"/>
  <c r="AI28"/>
  <c r="AJ28"/>
  <c r="AK28"/>
  <c r="AL28"/>
  <c r="AM28"/>
  <c r="AB28"/>
  <c r="P28"/>
  <c r="Q28"/>
  <c r="R28"/>
  <c r="S28"/>
  <c r="T28"/>
  <c r="U28"/>
  <c r="V28"/>
  <c r="W28"/>
  <c r="X28"/>
  <c r="Y28"/>
  <c r="Z28"/>
  <c r="O28"/>
  <c r="C28"/>
  <c r="D28"/>
  <c r="E28"/>
  <c r="F28"/>
  <c r="G28"/>
  <c r="H28"/>
  <c r="I28"/>
  <c r="J28"/>
  <c r="K28"/>
  <c r="L28"/>
  <c r="M28"/>
  <c r="B28"/>
  <c r="R30" i="5" l="1"/>
  <c r="O43" i="3"/>
  <c r="O31" s="1"/>
  <c r="N31"/>
  <c r="B35" i="50"/>
  <c r="Q26" i="11" l="1"/>
  <c r="P26"/>
  <c r="O26"/>
  <c r="N26"/>
  <c r="M26"/>
  <c r="L26"/>
  <c r="K26"/>
  <c r="J26"/>
  <c r="I26"/>
  <c r="H26"/>
  <c r="G26"/>
  <c r="F26"/>
  <c r="E26"/>
  <c r="D26"/>
  <c r="C26"/>
  <c r="B26"/>
  <c r="M41" i="5" l="1"/>
  <c r="O41" s="1"/>
  <c r="J41"/>
  <c r="L41" s="1"/>
  <c r="F41"/>
  <c r="I41" s="1"/>
  <c r="B41"/>
  <c r="E41" s="1"/>
  <c r="P41" l="1"/>
  <c r="R41" s="1"/>
  <c r="S41" s="1"/>
  <c r="G41" i="51" l="1"/>
  <c r="I41" s="1"/>
  <c r="J41" s="1"/>
  <c r="G41" i="4"/>
  <c r="K42" i="3"/>
  <c r="J42"/>
  <c r="G42"/>
  <c r="D42"/>
  <c r="L42" l="1"/>
  <c r="N42" s="1"/>
  <c r="O42" s="1"/>
  <c r="I39" i="35" l="1"/>
  <c r="F39"/>
  <c r="K39" l="1"/>
  <c r="M40" i="5"/>
  <c r="O40" s="1"/>
  <c r="J40"/>
  <c r="L40" s="1"/>
  <c r="F40"/>
  <c r="I40" s="1"/>
  <c r="P40" l="1"/>
  <c r="R40" s="1"/>
  <c r="B40"/>
  <c r="E40" s="1"/>
  <c r="I38" i="35"/>
  <c r="F38"/>
  <c r="K38" l="1"/>
  <c r="S40" i="5"/>
  <c r="G40" i="51"/>
  <c r="I40" s="1"/>
  <c r="J40" s="1"/>
  <c r="G40" i="4" l="1"/>
  <c r="K41" i="3"/>
  <c r="J41"/>
  <c r="G41"/>
  <c r="D41"/>
  <c r="L41" l="1"/>
  <c r="N41" s="1"/>
  <c r="O41" s="1"/>
  <c r="I37" i="35" l="1"/>
  <c r="F37"/>
  <c r="M39" i="5"/>
  <c r="O39" s="1"/>
  <c r="M38"/>
  <c r="O38" s="1"/>
  <c r="J39"/>
  <c r="L39" s="1"/>
  <c r="J38"/>
  <c r="L38" s="1"/>
  <c r="F39"/>
  <c r="I39" s="1"/>
  <c r="F38"/>
  <c r="I38" s="1"/>
  <c r="B39"/>
  <c r="E39" s="1"/>
  <c r="B38"/>
  <c r="E38" s="1"/>
  <c r="P39" l="1"/>
  <c r="R39" s="1"/>
  <c r="S39" s="1"/>
  <c r="P38"/>
  <c r="R38" s="1"/>
  <c r="S38" s="1"/>
  <c r="K37" i="35"/>
  <c r="G39" i="51" l="1"/>
  <c r="I39" s="1"/>
  <c r="J39" s="1"/>
  <c r="G39" i="4"/>
  <c r="K40" i="3"/>
  <c r="J40"/>
  <c r="G40"/>
  <c r="D40"/>
  <c r="L40" l="1"/>
  <c r="N40" s="1"/>
  <c r="O40" s="1"/>
  <c r="D39" i="50" l="1"/>
  <c r="D38" s="1"/>
  <c r="C39"/>
  <c r="C38" s="1"/>
  <c r="B39"/>
  <c r="B38" s="1"/>
  <c r="B32"/>
  <c r="E38" l="1"/>
  <c r="E39"/>
  <c r="I36" i="35"/>
  <c r="F36"/>
  <c r="K36" l="1"/>
  <c r="E41" i="50"/>
  <c r="G38" i="51" l="1"/>
  <c r="I38" s="1"/>
  <c r="J38" s="1"/>
  <c r="G38" i="4" l="1"/>
  <c r="K39" i="3" l="1"/>
  <c r="J39"/>
  <c r="G39"/>
  <c r="D39"/>
  <c r="L39" l="1"/>
  <c r="N39" s="1"/>
  <c r="O39" s="1"/>
  <c r="M37" i="5" l="1"/>
  <c r="O37" s="1"/>
  <c r="J37"/>
  <c r="L37" s="1"/>
  <c r="F37"/>
  <c r="I37" s="1"/>
  <c r="B37"/>
  <c r="E37" s="1"/>
  <c r="P37" l="1"/>
  <c r="R37" s="1"/>
  <c r="S37" s="1"/>
  <c r="I35" i="35"/>
  <c r="F35"/>
  <c r="K35" l="1"/>
  <c r="G37" i="51"/>
  <c r="I37" s="1"/>
  <c r="J37" s="1"/>
  <c r="G37" i="4"/>
  <c r="K38" i="3"/>
  <c r="J38"/>
  <c r="G38"/>
  <c r="D38"/>
  <c r="M36" i="5"/>
  <c r="L38" i="3" l="1"/>
  <c r="N38" s="1"/>
  <c r="O38" s="1"/>
  <c r="O36" i="5"/>
  <c r="J36"/>
  <c r="L36" s="1"/>
  <c r="F36"/>
  <c r="I36" s="1"/>
  <c r="B36"/>
  <c r="E36" s="1"/>
  <c r="P36" l="1"/>
  <c r="R36" s="1"/>
  <c r="S36" s="1"/>
  <c r="I34" i="35"/>
  <c r="F34"/>
  <c r="K34" l="1"/>
  <c r="K37" i="3"/>
  <c r="G36" i="51" l="1"/>
  <c r="I36" s="1"/>
  <c r="J36" s="1"/>
  <c r="G36" i="4"/>
  <c r="J37" i="3"/>
  <c r="G37"/>
  <c r="D37"/>
  <c r="L37" l="1"/>
  <c r="N37" s="1"/>
  <c r="O37" s="1"/>
  <c r="E40" i="50" l="1"/>
  <c r="G15" i="44"/>
  <c r="F15"/>
  <c r="E15"/>
  <c r="D15"/>
  <c r="C15"/>
  <c r="B15"/>
  <c r="M35" i="5" l="1"/>
  <c r="O35" s="1"/>
  <c r="J35"/>
  <c r="L35" s="1"/>
  <c r="F35"/>
  <c r="I35" s="1"/>
  <c r="B35"/>
  <c r="E35" s="1"/>
  <c r="P35" l="1"/>
  <c r="R35" s="1"/>
  <c r="S35" s="1"/>
  <c r="G35" i="51" l="1"/>
  <c r="I35" s="1"/>
  <c r="J35" s="1"/>
  <c r="K36" i="3"/>
  <c r="J36"/>
  <c r="G36"/>
  <c r="D36"/>
  <c r="G35" i="4"/>
  <c r="I33" i="35"/>
  <c r="F33"/>
  <c r="L36" i="3" l="1"/>
  <c r="N36" s="1"/>
  <c r="O36" s="1"/>
  <c r="K33" i="35"/>
  <c r="M34" i="5" l="1"/>
  <c r="O34" s="1"/>
  <c r="J34"/>
  <c r="L34" s="1"/>
  <c r="F34" l="1"/>
  <c r="I34" s="1"/>
  <c r="P34" s="1"/>
  <c r="R34" s="1"/>
  <c r="B34"/>
  <c r="E34" s="1"/>
  <c r="G34" i="51"/>
  <c r="I34" s="1"/>
  <c r="J34" s="1"/>
  <c r="G34" i="4"/>
  <c r="I32" i="35"/>
  <c r="F32"/>
  <c r="K35" i="3"/>
  <c r="J35"/>
  <c r="G35"/>
  <c r="D35"/>
  <c r="L35" l="1"/>
  <c r="N35" s="1"/>
  <c r="O35" s="1"/>
  <c r="K32" i="35"/>
  <c r="S34" i="5"/>
  <c r="M33"/>
  <c r="O33" s="1"/>
  <c r="J33"/>
  <c r="L33" s="1"/>
  <c r="F33"/>
  <c r="I33" s="1"/>
  <c r="B33"/>
  <c r="E33" s="1"/>
  <c r="P33" l="1"/>
  <c r="R33" s="1"/>
  <c r="S33" s="1"/>
  <c r="G33" i="4" l="1"/>
  <c r="G33" i="51"/>
  <c r="I33" s="1"/>
  <c r="J33" s="1"/>
  <c r="K34" i="3"/>
  <c r="J34"/>
  <c r="G34"/>
  <c r="D34"/>
  <c r="I31" i="35"/>
  <c r="F31"/>
  <c r="K31" l="1"/>
  <c r="L34" i="3"/>
  <c r="N34" s="1"/>
  <c r="O34" s="1"/>
  <c r="M32" i="5" l="1"/>
  <c r="O32" s="1"/>
  <c r="J32"/>
  <c r="L32" s="1"/>
  <c r="F32"/>
  <c r="I32" s="1"/>
  <c r="P32" l="1"/>
  <c r="R32" s="1"/>
  <c r="B32" l="1"/>
  <c r="E32" s="1"/>
  <c r="S32" s="1"/>
  <c r="B31"/>
  <c r="H31" i="50" l="1"/>
  <c r="G31"/>
  <c r="F31"/>
  <c r="D35"/>
  <c r="C35"/>
  <c r="I31" l="1"/>
  <c r="E35"/>
  <c r="F24"/>
  <c r="B28" l="1"/>
  <c r="I30" i="35"/>
  <c r="F30"/>
  <c r="K30" l="1"/>
  <c r="E37" i="50"/>
  <c r="G32" i="51" l="1"/>
  <c r="I32" s="1"/>
  <c r="J32" s="1"/>
  <c r="G32" i="4"/>
  <c r="K33" i="3"/>
  <c r="J33"/>
  <c r="G33"/>
  <c r="D33"/>
  <c r="W35" i="27"/>
  <c r="R32"/>
  <c r="Q32"/>
  <c r="P32"/>
  <c r="O32"/>
  <c r="L33" i="3" l="1"/>
  <c r="N33" s="1"/>
  <c r="O33" s="1"/>
  <c r="M31" i="5" l="1"/>
  <c r="O31" s="1"/>
  <c r="M29"/>
  <c r="J31"/>
  <c r="L31" s="1"/>
  <c r="J29"/>
  <c r="F31"/>
  <c r="I31" s="1"/>
  <c r="F29"/>
  <c r="E31"/>
  <c r="B29"/>
  <c r="P31" l="1"/>
  <c r="R31" s="1"/>
  <c r="S31" s="1"/>
  <c r="G31" i="51"/>
  <c r="I31" s="1"/>
  <c r="J31" s="1"/>
  <c r="G31" i="4"/>
  <c r="I29" i="35"/>
  <c r="F29"/>
  <c r="K32" i="3"/>
  <c r="K30"/>
  <c r="J32"/>
  <c r="G32"/>
  <c r="D32"/>
  <c r="K29" i="35" l="1"/>
  <c r="L32" i="3"/>
  <c r="N32" s="1"/>
  <c r="O32" s="1"/>
  <c r="O29" i="5"/>
  <c r="L29"/>
  <c r="I29"/>
  <c r="E29"/>
  <c r="P29" l="1"/>
  <c r="R29" s="1"/>
  <c r="S29" s="1"/>
  <c r="S17" l="1"/>
  <c r="R17"/>
  <c r="Q17"/>
  <c r="P17"/>
  <c r="O17"/>
  <c r="N17"/>
  <c r="M17"/>
  <c r="L17"/>
  <c r="K17"/>
  <c r="J17"/>
  <c r="I17"/>
  <c r="H17"/>
  <c r="G17"/>
  <c r="F17"/>
  <c r="E17"/>
  <c r="D17"/>
  <c r="C17"/>
  <c r="B17"/>
  <c r="I27" i="35"/>
  <c r="I15" s="1"/>
  <c r="F27"/>
  <c r="F15" s="1"/>
  <c r="G29" i="51"/>
  <c r="I29" s="1"/>
  <c r="G29" i="4"/>
  <c r="G17" s="1"/>
  <c r="J15" i="35"/>
  <c r="H15"/>
  <c r="G15"/>
  <c r="E15"/>
  <c r="D15"/>
  <c r="C15"/>
  <c r="B15"/>
  <c r="H17" i="51"/>
  <c r="F17"/>
  <c r="E17"/>
  <c r="D17"/>
  <c r="C17"/>
  <c r="B17"/>
  <c r="F17" i="4"/>
  <c r="E17"/>
  <c r="D17"/>
  <c r="C17"/>
  <c r="B17"/>
  <c r="M18" i="3"/>
  <c r="K18"/>
  <c r="I18"/>
  <c r="H18"/>
  <c r="F18"/>
  <c r="E18"/>
  <c r="C18"/>
  <c r="B18"/>
  <c r="J30"/>
  <c r="J18" s="1"/>
  <c r="G30"/>
  <c r="D30"/>
  <c r="D18" s="1"/>
  <c r="L30" l="1"/>
  <c r="L18" s="1"/>
  <c r="G17" i="51"/>
  <c r="G18" i="3"/>
  <c r="K27" i="35"/>
  <c r="K15" s="1"/>
  <c r="J29" i="51"/>
  <c r="J17" s="1"/>
  <c r="I17"/>
  <c r="O16" i="2"/>
  <c r="M16"/>
  <c r="L16"/>
  <c r="K16"/>
  <c r="D16"/>
  <c r="B16"/>
  <c r="Q13" i="11"/>
  <c r="P13"/>
  <c r="O13"/>
  <c r="N13"/>
  <c r="M13"/>
  <c r="L13"/>
  <c r="K13"/>
  <c r="J13"/>
  <c r="I13"/>
  <c r="H13"/>
  <c r="G13"/>
  <c r="F13"/>
  <c r="E13"/>
  <c r="D13"/>
  <c r="C13"/>
  <c r="B13"/>
  <c r="E36" i="50"/>
  <c r="M28" i="5"/>
  <c r="O28" s="1"/>
  <c r="J28"/>
  <c r="L28" s="1"/>
  <c r="F28"/>
  <c r="I28" s="1"/>
  <c r="B28"/>
  <c r="E28" s="1"/>
  <c r="AM15" i="43"/>
  <c r="AL15"/>
  <c r="AK15"/>
  <c r="AJ15"/>
  <c r="AI15"/>
  <c r="AH15"/>
  <c r="AG15"/>
  <c r="AF15"/>
  <c r="AE15"/>
  <c r="AD15"/>
  <c r="AC15"/>
  <c r="AB15"/>
  <c r="Z15"/>
  <c r="Y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B15"/>
  <c r="N30" i="3" l="1"/>
  <c r="N18" s="1"/>
  <c r="P28" i="5"/>
  <c r="R28" s="1"/>
  <c r="S28" s="1"/>
  <c r="O30" i="3" l="1"/>
  <c r="O18" s="1"/>
  <c r="G28" i="51" l="1"/>
  <c r="I28" s="1"/>
  <c r="J28" s="1"/>
  <c r="I26" i="35"/>
  <c r="F26"/>
  <c r="G28" i="4"/>
  <c r="K29" i="3"/>
  <c r="J29"/>
  <c r="G29"/>
  <c r="B29"/>
  <c r="D29" s="1"/>
  <c r="K26" i="35" l="1"/>
  <c r="L29" i="3"/>
  <c r="N29" s="1"/>
  <c r="O29" s="1"/>
  <c r="M27" i="5"/>
  <c r="O27" s="1"/>
  <c r="J27"/>
  <c r="L27" s="1"/>
  <c r="F27"/>
  <c r="I27" s="1"/>
  <c r="B27"/>
  <c r="E27" s="1"/>
  <c r="P27" l="1"/>
  <c r="R27" s="1"/>
  <c r="S27" s="1"/>
  <c r="I25" i="35" l="1"/>
  <c r="F25"/>
  <c r="G27" i="51"/>
  <c r="I27" s="1"/>
  <c r="J27" s="1"/>
  <c r="G27" i="4"/>
  <c r="K28" i="3"/>
  <c r="J28"/>
  <c r="G28"/>
  <c r="D28"/>
  <c r="M26" i="5"/>
  <c r="O26" s="1"/>
  <c r="J26"/>
  <c r="L26" s="1"/>
  <c r="F26"/>
  <c r="I26" s="1"/>
  <c r="B26"/>
  <c r="E26" s="1"/>
  <c r="G26" i="51"/>
  <c r="I26" s="1"/>
  <c r="J26" s="1"/>
  <c r="G26" i="4"/>
  <c r="I24" i="35"/>
  <c r="F24"/>
  <c r="L28" i="3" l="1"/>
  <c r="N28" s="1"/>
  <c r="O28" s="1"/>
  <c r="P26" i="5"/>
  <c r="R26" s="1"/>
  <c r="S26" s="1"/>
  <c r="K24" i="35"/>
  <c r="K25"/>
  <c r="K27" i="3"/>
  <c r="J27"/>
  <c r="G27"/>
  <c r="D27"/>
  <c r="D32" i="50"/>
  <c r="D31" s="1"/>
  <c r="C32"/>
  <c r="B31"/>
  <c r="L27" i="3" l="1"/>
  <c r="N27" s="1"/>
  <c r="O27" s="1"/>
  <c r="E32" i="50"/>
  <c r="C31"/>
  <c r="E31" s="1"/>
  <c r="I34"/>
  <c r="I33"/>
  <c r="E34"/>
  <c r="M25" i="5" l="1"/>
  <c r="O25" s="1"/>
  <c r="J25"/>
  <c r="L25" s="1"/>
  <c r="F25"/>
  <c r="I25" s="1"/>
  <c r="B25"/>
  <c r="E25" s="1"/>
  <c r="P25" l="1"/>
  <c r="R25" s="1"/>
  <c r="S25" s="1"/>
  <c r="G25" i="51" l="1"/>
  <c r="I25" s="1"/>
  <c r="J25" s="1"/>
  <c r="G25" i="4"/>
  <c r="I23" i="35"/>
  <c r="F23"/>
  <c r="K26" i="3"/>
  <c r="J26"/>
  <c r="G26"/>
  <c r="D26"/>
  <c r="L26" l="1"/>
  <c r="N26" s="1"/>
  <c r="O26" s="1"/>
  <c r="K23" i="35"/>
  <c r="M24" i="5" l="1"/>
  <c r="O24" s="1"/>
  <c r="J24"/>
  <c r="L24" s="1"/>
  <c r="F24"/>
  <c r="I24" s="1"/>
  <c r="B24"/>
  <c r="E24" s="1"/>
  <c r="P24" l="1"/>
  <c r="R24" s="1"/>
  <c r="S24" s="1"/>
  <c r="I22" i="35"/>
  <c r="F22"/>
  <c r="G24" i="51"/>
  <c r="I24" s="1"/>
  <c r="J24" s="1"/>
  <c r="G24" i="4"/>
  <c r="K25" i="3"/>
  <c r="J25"/>
  <c r="G25"/>
  <c r="D25"/>
  <c r="K22" i="35" l="1"/>
  <c r="L25" i="3"/>
  <c r="N25" s="1"/>
  <c r="O25" s="1"/>
  <c r="M23" i="5" l="1"/>
  <c r="O23" s="1"/>
  <c r="J23"/>
  <c r="L23" s="1"/>
  <c r="F23"/>
  <c r="I23" s="1"/>
  <c r="B23"/>
  <c r="E23" s="1"/>
  <c r="P23" l="1"/>
  <c r="R23" s="1"/>
  <c r="S23" s="1"/>
  <c r="G23" i="4" l="1"/>
  <c r="I21" i="35" l="1"/>
  <c r="F21"/>
  <c r="G23" i="51"/>
  <c r="I23" s="1"/>
  <c r="J23" s="1"/>
  <c r="K24" i="3"/>
  <c r="J24"/>
  <c r="G24"/>
  <c r="D24"/>
  <c r="L24" l="1"/>
  <c r="N24" s="1"/>
  <c r="O24" s="1"/>
  <c r="K21" i="35"/>
  <c r="H4" i="63"/>
  <c r="G4"/>
  <c r="F4"/>
  <c r="E4"/>
  <c r="D4"/>
  <c r="C4"/>
  <c r="E33" i="50"/>
  <c r="J21" i="5" l="1"/>
  <c r="M21"/>
  <c r="M22"/>
  <c r="O22" s="1"/>
  <c r="J22"/>
  <c r="L22" s="1"/>
  <c r="F22"/>
  <c r="I22" s="1"/>
  <c r="B22"/>
  <c r="E22" s="1"/>
  <c r="P22" l="1"/>
  <c r="R22" s="1"/>
  <c r="S22" s="1"/>
  <c r="G22" i="4" l="1"/>
  <c r="G22" i="51"/>
  <c r="I22" s="1"/>
  <c r="J22" s="1"/>
  <c r="K23" i="3"/>
  <c r="J23"/>
  <c r="G23"/>
  <c r="D23"/>
  <c r="I20" i="35"/>
  <c r="F20"/>
  <c r="K20" l="1"/>
  <c r="L23" i="3"/>
  <c r="N23" s="1"/>
  <c r="O23" s="1"/>
  <c r="L21" i="5" l="1"/>
  <c r="O21"/>
  <c r="F21"/>
  <c r="I21" s="1"/>
  <c r="B21"/>
  <c r="E21" s="1"/>
  <c r="P21" l="1"/>
  <c r="R21" s="1"/>
  <c r="S21" s="1"/>
  <c r="G21" i="51" l="1"/>
  <c r="I21" s="1"/>
  <c r="J21" s="1"/>
  <c r="K22" i="3"/>
  <c r="J22"/>
  <c r="G22"/>
  <c r="D22"/>
  <c r="L22" l="1"/>
  <c r="N22" s="1"/>
  <c r="O22" s="1"/>
  <c r="G21" i="4"/>
  <c r="I19" i="35"/>
  <c r="F19"/>
  <c r="K19" l="1"/>
  <c r="J20" i="5" l="1"/>
  <c r="L20" s="1"/>
  <c r="M20"/>
  <c r="O20" s="1"/>
  <c r="F20"/>
  <c r="I20" s="1"/>
  <c r="B20"/>
  <c r="E20" s="1"/>
  <c r="P20" l="1"/>
  <c r="R20" s="1"/>
  <c r="S20" s="1"/>
  <c r="G20" i="51" l="1"/>
  <c r="I20" s="1"/>
  <c r="J20" s="1"/>
  <c r="K21" i="3"/>
  <c r="J21"/>
  <c r="G21"/>
  <c r="D21"/>
  <c r="I18" i="35"/>
  <c r="F18"/>
  <c r="L21" i="3" l="1"/>
  <c r="N21" s="1"/>
  <c r="O21" s="1"/>
  <c r="K18" i="35"/>
  <c r="G20" i="4"/>
  <c r="H24" i="50"/>
  <c r="G24"/>
  <c r="D28"/>
  <c r="C28"/>
  <c r="E28" l="1"/>
  <c r="I24"/>
  <c r="M19" i="5"/>
  <c r="O19" s="1"/>
  <c r="J19"/>
  <c r="L19" s="1"/>
  <c r="F19"/>
  <c r="I19" s="1"/>
  <c r="B19"/>
  <c r="E19" s="1"/>
  <c r="P19" l="1"/>
  <c r="R19" s="1"/>
  <c r="S19" s="1"/>
  <c r="I30" i="50" l="1"/>
  <c r="E30"/>
  <c r="G19" i="51" l="1"/>
  <c r="I19" s="1"/>
  <c r="J19" s="1"/>
  <c r="K20" i="3"/>
  <c r="J20"/>
  <c r="G20"/>
  <c r="D20"/>
  <c r="L20" l="1"/>
  <c r="N20" s="1"/>
  <c r="O20" s="1"/>
  <c r="G19" i="4"/>
  <c r="I17" i="35"/>
  <c r="F17"/>
  <c r="K17" l="1"/>
  <c r="W34" i="27" l="1"/>
  <c r="R31"/>
  <c r="Q31"/>
  <c r="P31"/>
  <c r="O31"/>
  <c r="M18" i="5" l="1"/>
  <c r="O18" s="1"/>
  <c r="J18"/>
  <c r="L18" s="1"/>
  <c r="F18"/>
  <c r="I18" s="1"/>
  <c r="B18"/>
  <c r="E18" s="1"/>
  <c r="P18" l="1"/>
  <c r="R18" s="1"/>
  <c r="S18" s="1"/>
  <c r="I16" i="35" l="1"/>
  <c r="F16"/>
  <c r="G18" i="51"/>
  <c r="I18" s="1"/>
  <c r="J18" s="1"/>
  <c r="K16" i="35" l="1"/>
  <c r="G18" i="4"/>
  <c r="K19" i="3"/>
  <c r="J19"/>
  <c r="G19"/>
  <c r="D19"/>
  <c r="L19" l="1"/>
  <c r="N19" s="1"/>
  <c r="O19" s="1"/>
  <c r="I29" i="50" l="1"/>
  <c r="E29"/>
  <c r="D25" l="1"/>
  <c r="D24" s="1"/>
  <c r="C25"/>
  <c r="C24" s="1"/>
  <c r="B25"/>
  <c r="B24" s="1"/>
  <c r="E24" l="1"/>
  <c r="E25"/>
  <c r="I27"/>
  <c r="E27"/>
  <c r="W33" i="27" l="1"/>
  <c r="I26" i="50" l="1"/>
  <c r="E26"/>
  <c r="H17" l="1"/>
  <c r="G17"/>
  <c r="F17"/>
  <c r="H21"/>
  <c r="G21"/>
  <c r="F21"/>
  <c r="D21"/>
  <c r="C21"/>
  <c r="B21"/>
  <c r="I23"/>
  <c r="E23"/>
  <c r="E21" l="1"/>
  <c r="I21"/>
  <c r="I17"/>
  <c r="R30" i="27"/>
  <c r="Q30"/>
  <c r="P30"/>
  <c r="O30"/>
  <c r="I7" i="35" l="1"/>
  <c r="F7"/>
  <c r="I6"/>
  <c r="F6"/>
  <c r="K7" l="1"/>
  <c r="K6"/>
  <c r="U31" i="32"/>
  <c r="T31"/>
  <c r="S31"/>
  <c r="R31"/>
  <c r="Q31"/>
  <c r="P31"/>
  <c r="O31"/>
  <c r="M31"/>
  <c r="K31"/>
  <c r="I31"/>
  <c r="H31"/>
  <c r="G31"/>
  <c r="F31"/>
  <c r="E31"/>
  <c r="D31"/>
  <c r="C31"/>
  <c r="B31"/>
  <c r="P18"/>
  <c r="U18" l="1"/>
  <c r="T18"/>
  <c r="S18"/>
  <c r="R18"/>
  <c r="Q18"/>
  <c r="O18"/>
  <c r="N18"/>
  <c r="M18"/>
  <c r="K18"/>
  <c r="I18"/>
  <c r="H18"/>
  <c r="G18"/>
  <c r="F18"/>
  <c r="E18"/>
  <c r="D18"/>
  <c r="C18"/>
  <c r="B18"/>
  <c r="I20" i="50" l="1"/>
  <c r="I18"/>
  <c r="I12"/>
  <c r="I22"/>
  <c r="I19"/>
  <c r="I15"/>
  <c r="I13"/>
  <c r="I11" s="1"/>
  <c r="E22"/>
  <c r="E19"/>
  <c r="E20"/>
  <c r="D18" l="1"/>
  <c r="D17" s="1"/>
  <c r="C18"/>
  <c r="C17" s="1"/>
  <c r="B18"/>
  <c r="B17" s="1"/>
  <c r="E17" l="1"/>
  <c r="E18"/>
  <c r="Y37" i="8" l="1"/>
  <c r="Y36"/>
  <c r="H14" i="50"/>
  <c r="G14"/>
  <c r="F14"/>
  <c r="R29" i="27"/>
  <c r="Q29"/>
  <c r="P29"/>
  <c r="O29"/>
  <c r="N12" i="3"/>
  <c r="O12" s="1"/>
  <c r="W19" i="27"/>
  <c r="X21"/>
  <c r="O23"/>
  <c r="P23"/>
  <c r="Q23"/>
  <c r="R23"/>
  <c r="X23"/>
  <c r="O24"/>
  <c r="P24"/>
  <c r="Q24"/>
  <c r="R24"/>
  <c r="X24"/>
  <c r="O25"/>
  <c r="P25"/>
  <c r="Q25"/>
  <c r="R25"/>
  <c r="O26"/>
  <c r="P26"/>
  <c r="Q26"/>
  <c r="R26"/>
  <c r="Y26"/>
  <c r="Z26"/>
  <c r="AA26"/>
  <c r="AB26"/>
  <c r="O27"/>
  <c r="P27"/>
  <c r="Q27"/>
  <c r="R27"/>
  <c r="O28"/>
  <c r="P28"/>
  <c r="Q28"/>
  <c r="R28"/>
  <c r="I8" i="5"/>
  <c r="L8"/>
  <c r="I9"/>
  <c r="L9"/>
  <c r="I10"/>
  <c r="L10"/>
  <c r="G8" i="51"/>
  <c r="I8" s="1"/>
  <c r="J8" s="1"/>
  <c r="G9"/>
  <c r="I9" s="1"/>
  <c r="J9" s="1"/>
  <c r="G10"/>
  <c r="I10" s="1"/>
  <c r="J10" s="1"/>
  <c r="G8" i="4"/>
  <c r="D9" i="3"/>
  <c r="G9"/>
  <c r="J9"/>
  <c r="D10"/>
  <c r="G10"/>
  <c r="J10"/>
  <c r="D11"/>
  <c r="E12" i="50" l="1"/>
  <c r="E15"/>
  <c r="I14"/>
  <c r="B11"/>
  <c r="E13"/>
  <c r="B14"/>
  <c r="E16"/>
  <c r="P10" i="5"/>
  <c r="R10" s="1"/>
  <c r="S10" s="1"/>
  <c r="P8"/>
  <c r="R8" s="1"/>
  <c r="S8" s="1"/>
  <c r="L10" i="3"/>
  <c r="P9" i="5"/>
  <c r="R9" s="1"/>
  <c r="S9" s="1"/>
  <c r="L9" i="3"/>
  <c r="N9" s="1"/>
  <c r="D11" i="50"/>
  <c r="D14"/>
  <c r="C14"/>
  <c r="C11"/>
  <c r="E14" l="1"/>
  <c r="E11"/>
</calcChain>
</file>

<file path=xl/sharedStrings.xml><?xml version="1.0" encoding="utf-8"?>
<sst xmlns="http://schemas.openxmlformats.org/spreadsheetml/2006/main" count="8463" uniqueCount="2699">
  <si>
    <t>(In million US$)</t>
  </si>
  <si>
    <t>28.01.09</t>
  </si>
  <si>
    <t>25.02.09</t>
  </si>
  <si>
    <t>25.02.29</t>
  </si>
  <si>
    <t>25.03.09</t>
  </si>
  <si>
    <t>25.03.29</t>
  </si>
  <si>
    <t>29.04.09</t>
  </si>
  <si>
    <t>29.04.29</t>
  </si>
  <si>
    <t>27.05.09</t>
  </si>
  <si>
    <t>27.05.29</t>
  </si>
  <si>
    <t>24.06.09</t>
  </si>
  <si>
    <t>24.06.29</t>
  </si>
  <si>
    <t>29.07.09</t>
  </si>
  <si>
    <t>29.07.29</t>
  </si>
  <si>
    <t>26.08.09</t>
  </si>
  <si>
    <t>26.08.29</t>
  </si>
  <si>
    <t>Source :</t>
  </si>
  <si>
    <t>RATES OF INTEREST ON NON-RESIDENT FOREIGN CURRENCY DEPOSIT (NFCD) ACCOUNT                             PRIVATE BANKS</t>
  </si>
  <si>
    <t>RATES OF INTEREST ON NON-RESIDENT FOREIGN CURRENCY DEPOSIT (NFCD) ACCOUNT                              FOREIGN BANKS</t>
  </si>
  <si>
    <t>Clothing &amp; Footwear</t>
  </si>
  <si>
    <t>Gross rent, Fuel &amp; Lighting</t>
  </si>
  <si>
    <t xml:space="preserve">GROSS DOMESTIC PRODUCT OF </t>
  </si>
  <si>
    <t xml:space="preserve"> Period</t>
  </si>
  <si>
    <t>DMBs Borrowings</t>
  </si>
  <si>
    <t>DMBs Deposits (Excluding BSBL &amp; Inter-Bank)</t>
  </si>
  <si>
    <t>(Taka in crore)</t>
  </si>
  <si>
    <t>Particulars</t>
  </si>
  <si>
    <t>Savings Deposits:</t>
  </si>
  <si>
    <t>Fixed Deposits:</t>
  </si>
  <si>
    <t>Term Loan to Small Industry</t>
  </si>
  <si>
    <t>Net Profit After Tax</t>
  </si>
  <si>
    <t>Note:</t>
  </si>
  <si>
    <t>23.01.08</t>
  </si>
  <si>
    <t>27.02.08</t>
  </si>
  <si>
    <t>27.03.08</t>
  </si>
  <si>
    <t>23.04.08</t>
  </si>
  <si>
    <t>28.05.08</t>
  </si>
  <si>
    <t>27.08.08</t>
  </si>
  <si>
    <t>24.09.08</t>
  </si>
  <si>
    <t>29.10.08</t>
  </si>
  <si>
    <t>26.11.08</t>
  </si>
  <si>
    <t>24.12.08</t>
  </si>
  <si>
    <r>
      <t xml:space="preserve">United States </t>
    </r>
    <r>
      <rPr>
        <sz val="6"/>
        <color indexed="8"/>
        <rFont val="Times New Roman"/>
        <family val="1"/>
      </rPr>
      <t>(Rotterdam)</t>
    </r>
  </si>
  <si>
    <t>28.01.29</t>
  </si>
  <si>
    <t>23.01.28</t>
  </si>
  <si>
    <t>27.02.28</t>
  </si>
  <si>
    <t>27.03.28</t>
  </si>
  <si>
    <t>23.04.28</t>
  </si>
  <si>
    <t>28.05.28</t>
  </si>
  <si>
    <t>24.09.28</t>
  </si>
  <si>
    <t>29.10.28</t>
  </si>
  <si>
    <t>26.11.28</t>
  </si>
  <si>
    <t>24.12.28</t>
  </si>
  <si>
    <t>(Taka in Crore)</t>
  </si>
  <si>
    <t>-</t>
  </si>
  <si>
    <t>Mudaraba Short Term Deposits</t>
  </si>
  <si>
    <t>Mudaraba Hajj Savings Deposits :</t>
  </si>
  <si>
    <t>Cash Waqf.</t>
  </si>
  <si>
    <t>Chinese  Yuan</t>
  </si>
  <si>
    <t>RATES OF INTEREST ON NON-RESIDENT FOREIGN CURRENCY DEPOSIT (NFCD) ACCOUNT                                       STATE OWNED COMMERCIAL BANKS</t>
  </si>
  <si>
    <t>Hong Kong Dollar</t>
  </si>
  <si>
    <t>Japanese Yen</t>
  </si>
  <si>
    <t xml:space="preserve">No. of Persons </t>
  </si>
  <si>
    <t xml:space="preserve">Remittances </t>
  </si>
  <si>
    <t>Saudi Arabia</t>
  </si>
  <si>
    <t>Kuwait</t>
  </si>
  <si>
    <t>Libya</t>
  </si>
  <si>
    <t>Qatar</t>
  </si>
  <si>
    <t>Oman</t>
  </si>
  <si>
    <t>Singapore</t>
  </si>
  <si>
    <t>Germany</t>
  </si>
  <si>
    <t>Bahrain</t>
  </si>
  <si>
    <t>Iran</t>
  </si>
  <si>
    <t>Japan</t>
  </si>
  <si>
    <t>Other Countries</t>
  </si>
  <si>
    <t>Total Income</t>
  </si>
  <si>
    <t>Total Expenditure</t>
  </si>
  <si>
    <t>Bangladesh Bank (Central Bank)</t>
  </si>
  <si>
    <t>Specialized Banks</t>
  </si>
  <si>
    <t>Total Manpower</t>
  </si>
  <si>
    <t>1 month</t>
  </si>
  <si>
    <t>1 year</t>
  </si>
  <si>
    <t>Pound Sterling</t>
  </si>
  <si>
    <t>2009-10</t>
  </si>
  <si>
    <t>A.</t>
  </si>
  <si>
    <t>Bank Rate</t>
  </si>
  <si>
    <t>C.</t>
  </si>
  <si>
    <t>2008-09</t>
  </si>
  <si>
    <t>Engineering </t>
  </si>
  <si>
    <t>Jute Industries</t>
  </si>
  <si>
    <t>Exports</t>
  </si>
  <si>
    <t>Cement Industries</t>
  </si>
  <si>
    <t>Total Market Capitalisation</t>
  </si>
  <si>
    <t>Retail Market Price of Dhaka City</t>
  </si>
  <si>
    <t>Inflation (Food)</t>
  </si>
  <si>
    <t>Inflation (Non-food)</t>
  </si>
  <si>
    <t>Point -to- Point</t>
  </si>
  <si>
    <t>12- Month Average</t>
  </si>
  <si>
    <t xml:space="preserve">Social Islami Bank </t>
  </si>
  <si>
    <t>State Owned Commercial Banks</t>
  </si>
  <si>
    <t>5 years</t>
  </si>
  <si>
    <t>8 years</t>
  </si>
  <si>
    <t>Double Benefit Scheme</t>
  </si>
  <si>
    <t>Triple Benefit Scheme</t>
  </si>
  <si>
    <t>Mudaraba Steady Money</t>
  </si>
  <si>
    <t>Mudaraba Super Savings</t>
  </si>
  <si>
    <t>Mudaraba Multi Plus Savings</t>
  </si>
  <si>
    <t>Mudaraba Smart Saver Deposits</t>
  </si>
  <si>
    <t>Mudaraba Lakhopati Deposits Scheme</t>
  </si>
  <si>
    <t>Mudaraba Future Deposits Scheme</t>
  </si>
  <si>
    <t>Mudaraba Housing  Savings Scheme</t>
  </si>
  <si>
    <t>Children Savings Scheme</t>
  </si>
  <si>
    <t>Point -to-Point</t>
  </si>
  <si>
    <t>Jute goods (including Carpet)</t>
  </si>
  <si>
    <t>Tea</t>
  </si>
  <si>
    <t>Fish &amp; Shrimp</t>
  </si>
  <si>
    <t>80202</t>
  </si>
  <si>
    <t>19790</t>
  </si>
  <si>
    <t>6152</t>
  </si>
  <si>
    <t>93901</t>
  </si>
  <si>
    <t>6070</t>
  </si>
  <si>
    <t>43854</t>
  </si>
  <si>
    <t>78220</t>
  </si>
  <si>
    <t>3889</t>
  </si>
  <si>
    <t>56907</t>
  </si>
  <si>
    <t>8955</t>
  </si>
  <si>
    <t>38058</t>
  </si>
  <si>
    <t>14427</t>
  </si>
  <si>
    <t>13532</t>
  </si>
  <si>
    <t>11819</t>
  </si>
  <si>
    <t>545822</t>
  </si>
  <si>
    <t>INDUSTRIAL COMMODITIES</t>
  </si>
  <si>
    <t xml:space="preserve">August </t>
  </si>
  <si>
    <t>Clinker</t>
  </si>
  <si>
    <t>Dyeing &amp; Tanning Materials</t>
  </si>
  <si>
    <t>Cotton</t>
  </si>
  <si>
    <t>Banking Sector</t>
  </si>
  <si>
    <t>TRADE</t>
  </si>
  <si>
    <t>FOREIGN</t>
  </si>
  <si>
    <t xml:space="preserve">PRODUCTION OF MAJOR </t>
  </si>
  <si>
    <t>AGRICULTURAL COMMODITIES</t>
  </si>
  <si>
    <t>Currency in Circulation</t>
  </si>
  <si>
    <t>From</t>
  </si>
  <si>
    <t>PAYMENTS</t>
  </si>
  <si>
    <t>BALANCE OF</t>
  </si>
  <si>
    <t>Monetary Aggregates</t>
  </si>
  <si>
    <t>14.61</t>
  </si>
  <si>
    <t>192</t>
  </si>
  <si>
    <t xml:space="preserve">SELECTED ECONOMIC </t>
  </si>
  <si>
    <t>INDICATORS  </t>
  </si>
  <si>
    <t>BB</t>
  </si>
  <si>
    <t>DMBs</t>
  </si>
  <si>
    <t>Advances &amp; Bills</t>
  </si>
  <si>
    <t>Percentage change over end of the last June</t>
  </si>
  <si>
    <t>Income Velocity of  Money</t>
  </si>
  <si>
    <t xml:space="preserve">  </t>
  </si>
  <si>
    <t>Credit (Net) to Gover- nment</t>
  </si>
  <si>
    <t>Credit to Other Public Sector</t>
  </si>
  <si>
    <t>Amounts</t>
  </si>
  <si>
    <t>Bank Rate </t>
  </si>
  <si>
    <t>Deposits</t>
  </si>
  <si>
    <t xml:space="preserve"> Advances </t>
  </si>
  <si>
    <t>TABLE- IV (Contd.)</t>
  </si>
  <si>
    <t>Total Domestic credit</t>
  </si>
  <si>
    <t>End of period</t>
  </si>
  <si>
    <t>(Base:1995-96</t>
  </si>
  <si>
    <t>Interest Rates on</t>
  </si>
  <si>
    <t>Specialised Banks</t>
  </si>
  <si>
    <t>Private Banks</t>
  </si>
  <si>
    <t>RAKUB</t>
  </si>
  <si>
    <t>UCBL</t>
  </si>
  <si>
    <t xml:space="preserve"> jute goods)</t>
  </si>
  <si>
    <t>(Other than</t>
  </si>
  <si>
    <t>TABLE- IIE</t>
  </si>
  <si>
    <t xml:space="preserve">Lending Rates: </t>
  </si>
  <si>
    <t>Agriculture</t>
  </si>
  <si>
    <t>Sub-Category-1</t>
  </si>
  <si>
    <t>Sub-Category-2</t>
  </si>
  <si>
    <t>Non-Financial  Corporation</t>
  </si>
  <si>
    <t xml:space="preserve">         Deposit Liabilities</t>
  </si>
  <si>
    <t>Electri-city         Gas &amp; Water Supply</t>
  </si>
  <si>
    <t xml:space="preserve">         - =Not applicable</t>
  </si>
  <si>
    <r>
      <t>* Dubai Mediam, Fateh 32</t>
    </r>
    <r>
      <rPr>
        <vertAlign val="superscript"/>
        <sz val="6.5"/>
        <color indexed="8"/>
        <rFont val="Times New Roman"/>
        <family val="1"/>
      </rPr>
      <t xml:space="preserve">o </t>
    </r>
    <r>
      <rPr>
        <sz val="6.5"/>
        <color indexed="8"/>
        <rFont val="Times New Roman"/>
        <family val="1"/>
      </rPr>
      <t>API, Spot, f.o.b. U.K.</t>
    </r>
  </si>
  <si>
    <r>
      <t xml:space="preserve"> @ United Kingdom Light, Brent 38</t>
    </r>
    <r>
      <rPr>
        <vertAlign val="superscript"/>
        <sz val="6.5"/>
        <color indexed="8"/>
        <rFont val="Times New Roman"/>
        <family val="1"/>
      </rPr>
      <t>o</t>
    </r>
    <r>
      <rPr>
        <sz val="6.5"/>
        <color indexed="8"/>
        <rFont val="Times New Roman"/>
        <family val="1"/>
      </rPr>
      <t xml:space="preserve"> API, Spot, f.o.b. U.K.</t>
    </r>
  </si>
  <si>
    <t>Term Loan to Large &amp; Medium Scale Industry</t>
  </si>
  <si>
    <t xml:space="preserve">  Sub-Category-1</t>
  </si>
  <si>
    <t xml:space="preserve">  Sub-Category-2</t>
  </si>
  <si>
    <t>NBDCs</t>
  </si>
  <si>
    <t>Working Capital to Industry</t>
  </si>
  <si>
    <t xml:space="preserve">Trade Financing </t>
  </si>
  <si>
    <t xml:space="preserve">Housing Loan </t>
  </si>
  <si>
    <t xml:space="preserve">Consumer Credit </t>
  </si>
  <si>
    <t xml:space="preserve">Others </t>
  </si>
  <si>
    <t>NCCBL</t>
  </si>
  <si>
    <t>BCBL</t>
  </si>
  <si>
    <t>Bank Asia</t>
  </si>
  <si>
    <t>Woori Bank</t>
  </si>
  <si>
    <t>MERCHANDISE EXPORTS</t>
  </si>
  <si>
    <t>MERCHANDISE IMPORTS</t>
  </si>
  <si>
    <t>MERCHANDISE</t>
  </si>
  <si>
    <t>IMPORTS</t>
  </si>
  <si>
    <t>Aus Rice</t>
  </si>
  <si>
    <t>Aman Rice</t>
  </si>
  <si>
    <t>Boro Rice</t>
  </si>
  <si>
    <t>Currency     in Tills of DMBs</t>
  </si>
  <si>
    <t>Deposit Money Banks  (DMBs)</t>
  </si>
  <si>
    <t>To      Private</t>
  </si>
  <si>
    <t>To    Public</t>
  </si>
  <si>
    <t>Public    Bills</t>
  </si>
  <si>
    <t xml:space="preserve">                       Public                                                                  Sector</t>
  </si>
  <si>
    <t>Cash Reserve Require-ment</t>
  </si>
  <si>
    <t>Invest-ment</t>
  </si>
  <si>
    <t>Credit     to    Private Sector</t>
  </si>
  <si>
    <t>Total No. of    Branches    of Scheduled Banks</t>
  </si>
  <si>
    <t>Average Deposits  per DMB  Branch     (in crore) </t>
  </si>
  <si>
    <t>Other                                 Public Sector</t>
  </si>
  <si>
    <t>CPI of Major Non-Food Items / Groups</t>
  </si>
  <si>
    <t>Note    :</t>
  </si>
  <si>
    <t>91 percent of savings deposits are included in time deposits with effect from July 2007</t>
  </si>
  <si>
    <t>From       Govern-    ment</t>
  </si>
  <si>
    <t>To     Banks</t>
  </si>
  <si>
    <t xml:space="preserve">                      Rates,             Ratios         &amp;         Average         </t>
  </si>
  <si>
    <t>Jute      Textiles</t>
  </si>
  <si>
    <t>Wholesale Price Indices of  Base:  1969-70=100</t>
  </si>
  <si>
    <t>Foreign Trade (during the period)</t>
  </si>
  <si>
    <t>2010-11</t>
  </si>
  <si>
    <t xml:space="preserve"> Bangladesh Bureau of Statistics</t>
  </si>
  <si>
    <t xml:space="preserve">                 </t>
  </si>
  <si>
    <t>TABLE-IB</t>
  </si>
  <si>
    <t>TABLE-IIA</t>
  </si>
  <si>
    <r>
      <t>Note :</t>
    </r>
    <r>
      <rPr>
        <sz val="7"/>
        <rFont val="Times New Roman"/>
        <family val="1"/>
      </rPr>
      <t xml:space="preserve"> </t>
    </r>
  </si>
  <si>
    <r>
      <t xml:space="preserve">Source    </t>
    </r>
    <r>
      <rPr>
        <sz val="7"/>
        <rFont val="Times New Roman"/>
        <family val="1"/>
      </rPr>
      <t xml:space="preserve">: </t>
    </r>
  </si>
  <si>
    <r>
      <t xml:space="preserve">Note        </t>
    </r>
    <r>
      <rPr>
        <sz val="7"/>
        <rFont val="Times New Roman"/>
        <family val="1"/>
      </rPr>
      <t>: </t>
    </r>
  </si>
  <si>
    <t>Government       (Net)</t>
  </si>
  <si>
    <t>5= (3+4)</t>
  </si>
  <si>
    <t>8= (6+7)</t>
  </si>
  <si>
    <t>In FC   Clearing A/C</t>
  </si>
  <si>
    <t>Deposits with BB</t>
  </si>
  <si>
    <t>By  DMBs</t>
  </si>
  <si>
    <t>TABLE-IIC</t>
  </si>
  <si>
    <t>TABLE-IID</t>
  </si>
  <si>
    <t xml:space="preserve">Net Foreign Assets </t>
  </si>
  <si>
    <t>Deposit Money Banks</t>
  </si>
  <si>
    <r>
      <t xml:space="preserve">Total </t>
    </r>
    <r>
      <rPr>
        <sz val="8"/>
        <rFont val="Times New Roman"/>
        <family val="1"/>
      </rPr>
      <t>(2+3+4+5)</t>
    </r>
  </si>
  <si>
    <t>Net Domestic Assets (6+7)</t>
  </si>
  <si>
    <t>Reserve Money (1+8)</t>
  </si>
  <si>
    <t>Currency      in Tills of DMBs</t>
  </si>
  <si>
    <t xml:space="preserve">Note           : </t>
  </si>
  <si>
    <t xml:space="preserve">Source       : </t>
  </si>
  <si>
    <t>TABLE-IIF</t>
  </si>
  <si>
    <t>5 = (3+4)</t>
  </si>
  <si>
    <t>10 = (1+2+5+8+9)</t>
  </si>
  <si>
    <t xml:space="preserve">Note :  </t>
  </si>
  <si>
    <t>8 = (6+7)</t>
  </si>
  <si>
    <t>Commodities  ( others than food grains )</t>
  </si>
  <si>
    <t>( Taka in crore )</t>
  </si>
  <si>
    <t>Pharma-ceutical Products</t>
  </si>
  <si>
    <t>Capital machinery</t>
  </si>
  <si>
    <t>Total Exports     (1         through    10)</t>
  </si>
  <si>
    <t>Commodities                                                                                                ( other than food grains )</t>
  </si>
  <si>
    <t>TABLE-IV (Concld.)</t>
  </si>
  <si>
    <t xml:space="preserve">           </t>
  </si>
  <si>
    <t>Financial Institutions</t>
  </si>
  <si>
    <t>Mutual Funds</t>
  </si>
  <si>
    <t>13=(3+6+9+12)</t>
  </si>
  <si>
    <t>BALANCE   OF   PAYMENTS</t>
  </si>
  <si>
    <t>TABLE-V (Contd.)</t>
  </si>
  <si>
    <t>… =  Not available</t>
  </si>
  <si>
    <t>Tax Revenue Receipts (under NBR)</t>
  </si>
  <si>
    <t xml:space="preserve">SELECTED TAX REVENUE RECEIPTS  </t>
  </si>
  <si>
    <t>Telecomm-unication</t>
  </si>
  <si>
    <t>000'  sq. Metres</t>
  </si>
  <si>
    <t>Source : </t>
  </si>
  <si>
    <t xml:space="preserve">                  </t>
  </si>
  <si>
    <t xml:space="preserve">               </t>
  </si>
  <si>
    <t xml:space="preserve">                </t>
  </si>
  <si>
    <t>Monthly Profit Based Deposits</t>
  </si>
  <si>
    <t>Hajj Deposit (Term)</t>
  </si>
  <si>
    <t>Iranian Riyal</t>
  </si>
  <si>
    <t>Myanmar Kyat</t>
  </si>
  <si>
    <t>South Korean Won</t>
  </si>
  <si>
    <t>Soya bean Oil     (US $ /MT)</t>
  </si>
  <si>
    <t>Glass       Sheets</t>
  </si>
  <si>
    <t>Food      Products</t>
  </si>
  <si>
    <t>Oil      Products</t>
  </si>
  <si>
    <t xml:space="preserve">KEY INDICATORS OF </t>
  </si>
  <si>
    <t>NATIONAL ACCOUNTS</t>
  </si>
  <si>
    <t>GDP at Current Market Price</t>
  </si>
  <si>
    <t>GNI at Current Market Price</t>
  </si>
  <si>
    <t>Net  Current Transfer from Abroad</t>
  </si>
  <si>
    <t>Gross Domestic Savings at Current Market Price</t>
  </si>
  <si>
    <t>Gross National Savings at  Current Market Price</t>
  </si>
  <si>
    <t>National Savings as % of GDP at Current Market Price</t>
  </si>
  <si>
    <t>GDP at Constant Market Price</t>
  </si>
  <si>
    <t>GNI at Constant Market Price</t>
  </si>
  <si>
    <t>Per Capita (Amount in unit)</t>
  </si>
  <si>
    <t>Income at Current Market Price</t>
  </si>
  <si>
    <t>300580</t>
  </si>
  <si>
    <t>(51914)</t>
  </si>
  <si>
    <t>(54778)</t>
  </si>
  <si>
    <t>(373)</t>
  </si>
  <si>
    <t>(55151)</t>
  </si>
  <si>
    <t>(42458)</t>
  </si>
  <si>
    <t>(9456)</t>
  </si>
  <si>
    <t>(12633)</t>
  </si>
  <si>
    <t>(12151)</t>
  </si>
  <si>
    <t>(389)</t>
  </si>
  <si>
    <t>(407)</t>
  </si>
  <si>
    <t>332973</t>
  </si>
  <si>
    <t>(56493)</t>
  </si>
  <si>
    <t>(59472)</t>
  </si>
  <si>
    <t>(422)</t>
  </si>
  <si>
    <t>(59832)</t>
  </si>
  <si>
    <t>(45458)</t>
  </si>
  <si>
    <t>(11036)</t>
  </si>
  <si>
    <t>(14374)</t>
  </si>
  <si>
    <t>(13572)</t>
  </si>
  <si>
    <t>(421)</t>
  </si>
  <si>
    <t>(440)</t>
  </si>
  <si>
    <t>90924</t>
  </si>
  <si>
    <t>13.70</t>
  </si>
  <si>
    <t>(60386)</t>
  </si>
  <si>
    <t>(63469)</t>
  </si>
  <si>
    <t>(437)</t>
  </si>
  <si>
    <t>(63906)</t>
  </si>
  <si>
    <t>(48300)</t>
  </si>
  <si>
    <t>(12086)</t>
  </si>
  <si>
    <t>(15606)</t>
  </si>
  <si>
    <t>(14811)</t>
  </si>
  <si>
    <t>(441)</t>
  </si>
  <si>
    <t>(463)</t>
  </si>
  <si>
    <t>446588</t>
  </si>
  <si>
    <t>6.63</t>
  </si>
  <si>
    <t>(61975)</t>
  </si>
  <si>
    <t>(66031)</t>
  </si>
  <si>
    <t>(546)</t>
  </si>
  <si>
    <t>(66575)</t>
  </si>
  <si>
    <t>(49426)</t>
  </si>
  <si>
    <t>(12549)</t>
  </si>
  <si>
    <t>(17149)</t>
  </si>
  <si>
    <t>(15277)</t>
  </si>
  <si>
    <t>(447)</t>
  </si>
  <si>
    <t>(476)</t>
  </si>
  <si>
    <t>507752</t>
  </si>
  <si>
    <t>3988</t>
  </si>
  <si>
    <t>511741</t>
  </si>
  <si>
    <t>376317</t>
  </si>
  <si>
    <t>79.65</t>
  </si>
  <si>
    <t>96160</t>
  </si>
  <si>
    <t>135424</t>
  </si>
  <si>
    <t>28.66</t>
  </si>
  <si>
    <t xml:space="preserve"> 115590</t>
  </si>
  <si>
    <t>24.46</t>
  </si>
  <si>
    <t>302971</t>
  </si>
  <si>
    <t>325591</t>
  </si>
  <si>
    <t>13.65</t>
  </si>
  <si>
    <t>6.43</t>
  </si>
  <si>
    <t>156</t>
  </si>
  <si>
    <t>33607</t>
  </si>
  <si>
    <t>21550</t>
  </si>
  <si>
    <t>36116</t>
  </si>
  <si>
    <t>23159</t>
  </si>
  <si>
    <t>(68445)</t>
  </si>
  <si>
    <t>(73555)</t>
  </si>
  <si>
    <t>(578)</t>
  </si>
  <si>
    <t>(74133)</t>
  </si>
  <si>
    <t>(54515)</t>
  </si>
  <si>
    <t>(13930)</t>
  </si>
  <si>
    <t>(19618)</t>
  </si>
  <si>
    <t>(16745)</t>
  </si>
  <si>
    <t>(487)</t>
  </si>
  <si>
    <t>(523)</t>
  </si>
  <si>
    <t>5671</t>
  </si>
  <si>
    <t>599883</t>
  </si>
  <si>
    <t>434971</t>
  </si>
  <si>
    <t>79.69</t>
  </si>
  <si>
    <t>110851</t>
  </si>
  <si>
    <t>164912</t>
  </si>
  <si>
    <t>30.21</t>
  </si>
  <si>
    <t>132132</t>
  </si>
  <si>
    <t>24.21</t>
  </si>
  <si>
    <t>321726</t>
  </si>
  <si>
    <t>15.52</t>
  </si>
  <si>
    <t>6.19</t>
  </si>
  <si>
    <t>170</t>
  </si>
  <si>
    <t>14.24</t>
  </si>
  <si>
    <t>22593</t>
  </si>
  <si>
    <t>14.42</t>
  </si>
  <si>
    <t>P = Provisional</t>
  </si>
  <si>
    <t>Non-Food</t>
  </si>
  <si>
    <t>Transport &amp; Communi-cations</t>
  </si>
  <si>
    <t>Recreation, Entertain-ment, Education &amp; Cultural Services</t>
  </si>
  <si>
    <t>Source:</t>
  </si>
  <si>
    <r>
      <t>Source</t>
    </r>
    <r>
      <rPr>
        <sz val="7"/>
        <color indexed="8"/>
        <rFont val="Times New Roman"/>
        <family val="1"/>
      </rPr>
      <t>: Bangladesh Bureau of Statistics</t>
    </r>
  </si>
  <si>
    <t>Import Duty</t>
  </si>
  <si>
    <t>Net Primary Income from Abroad</t>
  </si>
  <si>
    <t>Manufa-cturing</t>
  </si>
  <si>
    <t>Constr-uctions</t>
  </si>
  <si>
    <t>Finan-cial     Inter-medi-ations</t>
  </si>
  <si>
    <t>Educa-tion</t>
  </si>
  <si>
    <t>BANGLADESH AT CONSTANT MARKET PRICE</t>
  </si>
  <si>
    <t>TABLE-X</t>
  </si>
  <si>
    <t>Electri-city      Gas &amp; Water Supply</t>
  </si>
  <si>
    <r>
      <t>Source   :</t>
    </r>
    <r>
      <rPr>
        <sz val="8"/>
        <color indexed="8"/>
        <rFont val="Times New Roman"/>
        <family val="1"/>
      </rPr>
      <t xml:space="preserve">   </t>
    </r>
  </si>
  <si>
    <r>
      <t>Note       :</t>
    </r>
    <r>
      <rPr>
        <sz val="8"/>
        <color indexed="8"/>
        <rFont val="Times New Roman"/>
        <family val="1"/>
      </rPr>
      <t xml:space="preserve"> </t>
    </r>
  </si>
  <si>
    <r>
      <t>Source   :</t>
    </r>
    <r>
      <rPr>
        <sz val="8"/>
        <color indexed="8"/>
        <rFont val="Times New Roman"/>
        <family val="1"/>
      </rPr>
      <t xml:space="preserve"> </t>
    </r>
  </si>
  <si>
    <t>Gross Disposable National  Income at Current Market Price</t>
  </si>
  <si>
    <t>Total Consum-ption at Current Market Price</t>
  </si>
  <si>
    <t>Income at Constant Market Price</t>
  </si>
  <si>
    <t>Annual Growth     of GDP at Constant Market Price %</t>
  </si>
  <si>
    <t>Miscella-neous </t>
  </si>
  <si>
    <t>u)</t>
  </si>
  <si>
    <t>Mudaraba Marriage Savings Scheme</t>
  </si>
  <si>
    <t>Jul-Dec</t>
  </si>
  <si>
    <t>Jan-Jun</t>
  </si>
  <si>
    <t>DMBs Total Assets/ Liabilities</t>
  </si>
  <si>
    <t>Total Invest-ments as    % of GDP at Current Market Price</t>
  </si>
  <si>
    <t>Total Consum-ption as % of GDP at Current Market Price</t>
  </si>
  <si>
    <t>Export Duty</t>
  </si>
  <si>
    <t xml:space="preserve"> Weighted Average Exchange Rate</t>
  </si>
  <si>
    <t>ii)  Loan above Tk. 15 lacs</t>
  </si>
  <si>
    <t>i)  Loan upto Tk. 15 lacs</t>
  </si>
  <si>
    <t xml:space="preserve">Source      : </t>
  </si>
  <si>
    <t>Sugar Cane</t>
  </si>
  <si>
    <t>Rape &amp; Mustard</t>
  </si>
  <si>
    <t>TABLE-V (Concld.)</t>
  </si>
  <si>
    <t>Moong</t>
  </si>
  <si>
    <t>Masur</t>
  </si>
  <si>
    <t>Tobacco</t>
  </si>
  <si>
    <t>Jute</t>
  </si>
  <si>
    <t>…</t>
  </si>
  <si>
    <t xml:space="preserve">ii) </t>
  </si>
  <si>
    <t xml:space="preserve">iii) </t>
  </si>
  <si>
    <t xml:space="preserve">iv) </t>
  </si>
  <si>
    <t>iii)</t>
  </si>
  <si>
    <t>iv)</t>
  </si>
  <si>
    <t>09.01.08</t>
  </si>
  <si>
    <t>13.02.08</t>
  </si>
  <si>
    <t>09.04.08</t>
  </si>
  <si>
    <t>14.05.08</t>
  </si>
  <si>
    <t>11.06.08</t>
  </si>
  <si>
    <t>13.08.08</t>
  </si>
  <si>
    <t>15.10.08</t>
  </si>
  <si>
    <t>12.11.08</t>
  </si>
  <si>
    <t>09.01.23</t>
  </si>
  <si>
    <t>13.02.23</t>
  </si>
  <si>
    <t>09.04.23</t>
  </si>
  <si>
    <t>14.05.23</t>
  </si>
  <si>
    <t>11.06.23</t>
  </si>
  <si>
    <t>13.08.23</t>
  </si>
  <si>
    <t>12.11.23</t>
  </si>
  <si>
    <t>Banking)</t>
  </si>
  <si>
    <t>INDICATORS</t>
  </si>
  <si>
    <t>TABLE-IA (Contd.)</t>
  </si>
  <si>
    <t xml:space="preserve"> Euro</t>
  </si>
  <si>
    <t>v)</t>
  </si>
  <si>
    <t>f)</t>
  </si>
  <si>
    <t>i)</t>
  </si>
  <si>
    <t>j)</t>
  </si>
  <si>
    <t>k)</t>
  </si>
  <si>
    <t>l)</t>
  </si>
  <si>
    <t>m)</t>
  </si>
  <si>
    <t>n)</t>
  </si>
  <si>
    <t>o)</t>
  </si>
  <si>
    <t>p)</t>
  </si>
  <si>
    <t xml:space="preserve">Domestic  </t>
  </si>
  <si>
    <t>INFLATION RATE IN BANGLADESH</t>
  </si>
  <si>
    <t xml:space="preserve">AVERAGE PRICES OF </t>
  </si>
  <si>
    <t>SELECTED COMMODITIES</t>
  </si>
  <si>
    <t>BANGLADESH AT CURRENT MARKET PRICE</t>
  </si>
  <si>
    <t>AT INTERNATIONAL MARKET</t>
  </si>
  <si>
    <t>TABLE-IIIB</t>
  </si>
  <si>
    <t>Cotton (U.S. Cents/ pound)</t>
  </si>
  <si>
    <t>Gold (US $/ Troy Ounce)</t>
  </si>
  <si>
    <t xml:space="preserve">APPRECIATION / DEPRECIATION OF SELECTED </t>
  </si>
  <si>
    <t>CURRENCIES AGAINST US DOLLAR</t>
  </si>
  <si>
    <t>(Taka per</t>
  </si>
  <si>
    <t>RATES</t>
  </si>
  <si>
    <t>Currencies)</t>
  </si>
  <si>
    <t>EXCHANGE</t>
  </si>
  <si>
    <t xml:space="preserve">REMITTANCES </t>
  </si>
  <si>
    <t>35276</t>
  </si>
  <si>
    <t>50200</t>
  </si>
  <si>
    <t>36.37 Litres</t>
  </si>
  <si>
    <r>
      <t>1(</t>
    </r>
    <r>
      <rPr>
        <vertAlign val="superscript"/>
        <sz val="9"/>
        <color indexed="8"/>
        <rFont val="Times New Roman"/>
        <family val="1"/>
      </rPr>
      <t>0</t>
    </r>
    <r>
      <rPr>
        <sz val="9"/>
        <color indexed="8"/>
        <rFont val="Times New Roman"/>
        <family val="1"/>
      </rPr>
      <t>F)</t>
    </r>
  </si>
  <si>
    <r>
      <t>1.8(</t>
    </r>
    <r>
      <rPr>
        <vertAlign val="superscript"/>
        <sz val="9"/>
        <color indexed="8"/>
        <rFont val="Times New Roman"/>
        <family val="1"/>
      </rPr>
      <t>0</t>
    </r>
    <r>
      <rPr>
        <sz val="9"/>
        <color indexed="8"/>
        <rFont val="Times New Roman"/>
        <family val="1"/>
      </rPr>
      <t>C) + 32</t>
    </r>
  </si>
  <si>
    <t>100 Decimals</t>
  </si>
  <si>
    <t xml:space="preserve">Appendix : </t>
  </si>
  <si>
    <t>TABLE-IIB</t>
  </si>
  <si>
    <t>Services</t>
  </si>
  <si>
    <t>2007-08</t>
  </si>
  <si>
    <t xml:space="preserve">March </t>
  </si>
  <si>
    <t>Liverpool  Index</t>
  </si>
  <si>
    <t>Inflows</t>
  </si>
  <si>
    <t>Stocks</t>
  </si>
  <si>
    <t xml:space="preserve">Total               </t>
  </si>
  <si>
    <t xml:space="preserve">Total                </t>
  </si>
  <si>
    <t>25.09.21</t>
  </si>
  <si>
    <t>14.10.09</t>
  </si>
  <si>
    <t>14.10.24</t>
  </si>
  <si>
    <t>09.12.09</t>
  </si>
  <si>
    <t>09.12.24</t>
  </si>
  <si>
    <t>13.01.10</t>
  </si>
  <si>
    <t>13.01.25</t>
  </si>
  <si>
    <t>10.02.10</t>
  </si>
  <si>
    <t>10.02.25</t>
  </si>
  <si>
    <t>10.03.10</t>
  </si>
  <si>
    <t>10.03.25</t>
  </si>
  <si>
    <t>28.10.09</t>
  </si>
  <si>
    <t>28.10.29</t>
  </si>
  <si>
    <t>23.12.09</t>
  </si>
  <si>
    <t>23.12.29</t>
  </si>
  <si>
    <t>24.02.10</t>
  </si>
  <si>
    <t>24.02.30</t>
  </si>
  <si>
    <t>24.03.10</t>
  </si>
  <si>
    <t>24.03.30</t>
  </si>
  <si>
    <t>TABLE-XVI</t>
  </si>
  <si>
    <t xml:space="preserve">g)  </t>
  </si>
  <si>
    <t>Mudaraba Special Deposit  Pension Scheme</t>
  </si>
  <si>
    <t>12 years</t>
  </si>
  <si>
    <t xml:space="preserve"> i) </t>
  </si>
  <si>
    <t xml:space="preserve"> ii) </t>
  </si>
  <si>
    <t>15 years</t>
  </si>
  <si>
    <t>20 years</t>
  </si>
  <si>
    <t>25 years</t>
  </si>
  <si>
    <t>10 years</t>
  </si>
  <si>
    <t>Non Resident Bond</t>
  </si>
  <si>
    <t xml:space="preserve">h) </t>
  </si>
  <si>
    <t xml:space="preserve">e)     </t>
  </si>
  <si>
    <t>Benefit Scheme</t>
  </si>
  <si>
    <t xml:space="preserve">f) </t>
  </si>
  <si>
    <t>Millionaire Scheme Deposit</t>
  </si>
  <si>
    <t>ii)  11 to 25  years</t>
  </si>
  <si>
    <t>iii)  One Time Hajj Deposits</t>
  </si>
  <si>
    <t>i)    1 to 10 years</t>
  </si>
  <si>
    <t>MMPDR / Hajj Deposit (Monthly)</t>
  </si>
  <si>
    <t>... =Not applicable</t>
  </si>
  <si>
    <t>P= Provisional</t>
  </si>
  <si>
    <t xml:space="preserve">               </t>
  </si>
  <si>
    <t>… = Not Available</t>
  </si>
  <si>
    <t xml:space="preserve">Source :      </t>
  </si>
  <si>
    <t xml:space="preserve">Source : </t>
  </si>
  <si>
    <t xml:space="preserve">            </t>
  </si>
  <si>
    <t>TABLE-XVIII</t>
  </si>
  <si>
    <t>Source    :</t>
  </si>
  <si>
    <t>MONETARY</t>
  </si>
  <si>
    <t xml:space="preserve">COUNTRY-WISE WORKERS' </t>
  </si>
  <si>
    <t>Bangladeshi Taka</t>
  </si>
  <si>
    <t>South Korean  Won</t>
  </si>
  <si>
    <t>Sri  Lankan Rupee</t>
  </si>
  <si>
    <t xml:space="preserve">Source   : </t>
  </si>
  <si>
    <t xml:space="preserve">Note      :          </t>
  </si>
  <si>
    <t>Deposits with BB other than DMBs</t>
  </si>
  <si>
    <t>DMBs Advances</t>
  </si>
  <si>
    <t>DMBs Investment</t>
  </si>
  <si>
    <t>Other Financial Corporation &amp; NBDCs</t>
  </si>
  <si>
    <t>Public</t>
  </si>
  <si>
    <t>Non-Financial Corporation</t>
  </si>
  <si>
    <t>10=(1+2+5+8+9)</t>
  </si>
  <si>
    <t xml:space="preserve">Total </t>
  </si>
  <si>
    <t>1 Maund</t>
  </si>
  <si>
    <t>=</t>
  </si>
  <si>
    <t>37.324 Kgs.</t>
  </si>
  <si>
    <t>1 Bale</t>
  </si>
  <si>
    <t>180 Kgs.</t>
  </si>
  <si>
    <t>82.285 lbs.</t>
  </si>
  <si>
    <t>4.823 Mds.</t>
  </si>
  <si>
    <t>1 Seer</t>
  </si>
  <si>
    <t>0.933 Kg.</t>
  </si>
  <si>
    <t>1 Metric Ton</t>
  </si>
  <si>
    <t>1000 Kgs.</t>
  </si>
  <si>
    <t>Public Sector</t>
  </si>
  <si>
    <t>26.792 Mds.</t>
  </si>
  <si>
    <t>1 Pound (lb)</t>
  </si>
  <si>
    <t>0.4536 Kg.</t>
  </si>
  <si>
    <t>1 Long Ton</t>
  </si>
  <si>
    <t>1016.05 Kgs.</t>
  </si>
  <si>
    <t>1 Tola</t>
  </si>
  <si>
    <t>11.66 gms.</t>
  </si>
  <si>
    <t>27.223 Mds.</t>
  </si>
  <si>
    <t>1 Metre</t>
  </si>
  <si>
    <t>39.37 Inches</t>
  </si>
  <si>
    <t>1 Ounce</t>
  </si>
  <si>
    <t>2.43 Tola</t>
  </si>
  <si>
    <t>3.2808 Ft.</t>
  </si>
  <si>
    <t>28.35 gms.</t>
  </si>
  <si>
    <t>1 Sq. Metre</t>
  </si>
  <si>
    <t>10.764 Sq. Ft.</t>
  </si>
  <si>
    <t>1 Troy ounce</t>
  </si>
  <si>
    <t>1 Mile</t>
  </si>
  <si>
    <t>1.6093 Km.</t>
  </si>
  <si>
    <t>2.666 Tola</t>
  </si>
  <si>
    <t>0.3048 Metre</t>
  </si>
  <si>
    <t>1 Quintal</t>
  </si>
  <si>
    <t>100 Kgs.</t>
  </si>
  <si>
    <t>1 Sq. Ft.</t>
  </si>
  <si>
    <t>0.0929 Sq. Metre</t>
  </si>
  <si>
    <t>220.5 lbs.</t>
  </si>
  <si>
    <t>1 Bigha</t>
  </si>
  <si>
    <t>0.3306 Acre</t>
  </si>
  <si>
    <t>2.679 Mds.</t>
  </si>
  <si>
    <t xml:space="preserve">TABLE-III A (Contd.) </t>
  </si>
  <si>
    <t>TABLE-III A (Concld.)</t>
  </si>
  <si>
    <t>1600 Sq. Yards</t>
  </si>
  <si>
    <t>0.1 Metric Ton</t>
  </si>
  <si>
    <t xml:space="preserve">MONETARY </t>
  </si>
  <si>
    <t>BY DEPOSITORY CORPORATIONS</t>
  </si>
  <si>
    <t>BY THE BANKING SYSTEM</t>
  </si>
  <si>
    <t>1.65 Decimal</t>
  </si>
  <si>
    <t>1 Litre</t>
  </si>
  <si>
    <t>0.22 Gallon</t>
  </si>
  <si>
    <t>720 Sq. Ft.</t>
  </si>
  <si>
    <t>1000 CC</t>
  </si>
  <si>
    <t>66.89 Sq. Metre</t>
  </si>
  <si>
    <t>0.027 Bushel</t>
  </si>
  <si>
    <t>1 Decimal</t>
  </si>
  <si>
    <t>435.6 Sq. Ft.</t>
  </si>
  <si>
    <t>1 Barrel</t>
  </si>
  <si>
    <t>34.9726 Gallon</t>
  </si>
  <si>
    <t>1 Acre</t>
  </si>
  <si>
    <t>0.405 Hectare</t>
  </si>
  <si>
    <t>0.125 M. T.</t>
  </si>
  <si>
    <t>4840 Sq. Yards</t>
  </si>
  <si>
    <t>1 Crore</t>
  </si>
  <si>
    <t>10 Millions</t>
  </si>
  <si>
    <t>100 Lacs.</t>
  </si>
  <si>
    <t>1 Hectare</t>
  </si>
  <si>
    <t>2.47 Acres</t>
  </si>
  <si>
    <t>0.01 Billion</t>
  </si>
  <si>
    <t>1 Megawatt</t>
  </si>
  <si>
    <t>1000 Kilo Watts.</t>
  </si>
  <si>
    <t xml:space="preserve"> --- = Not applicable</t>
  </si>
  <si>
    <t>11.07.22</t>
  </si>
  <si>
    <t>12.09.07</t>
  </si>
  <si>
    <t>25.09.07</t>
  </si>
  <si>
    <t>q)</t>
  </si>
  <si>
    <t>Mudaraba Muhar Savings(10yrs.)</t>
  </si>
  <si>
    <t>r)</t>
  </si>
  <si>
    <t>BDBL</t>
  </si>
  <si>
    <t>Mudaraba Muhar Savings(5yrs.)</t>
  </si>
  <si>
    <t>s)</t>
  </si>
  <si>
    <t>t)</t>
  </si>
  <si>
    <t>14.11.07</t>
  </si>
  <si>
    <t>12.12.07</t>
  </si>
  <si>
    <t>12.09.22</t>
  </si>
  <si>
    <t>14.11.22</t>
  </si>
  <si>
    <t>12.12.22</t>
  </si>
  <si>
    <t>26.09.07</t>
  </si>
  <si>
    <t>24.10.07</t>
  </si>
  <si>
    <t>28.11.07</t>
  </si>
  <si>
    <t>26.09.27</t>
  </si>
  <si>
    <t>24.10.27</t>
  </si>
  <si>
    <t>28.11.27</t>
  </si>
  <si>
    <t>ii)</t>
  </si>
  <si>
    <t>1 Katha</t>
  </si>
  <si>
    <t>4046.8468 Sq. Metre</t>
  </si>
  <si>
    <t>1 Feet</t>
  </si>
  <si>
    <t>End of Period</t>
  </si>
  <si>
    <t>Banks</t>
  </si>
  <si>
    <t>Total</t>
  </si>
  <si>
    <t>Private</t>
  </si>
  <si>
    <t>Domestic</t>
  </si>
  <si>
    <t>Average</t>
  </si>
  <si>
    <t>Period</t>
  </si>
  <si>
    <t>Net Foreign Assets</t>
  </si>
  <si>
    <t>Domestic Credit</t>
  </si>
  <si>
    <t>Government (Net)</t>
  </si>
  <si>
    <t>Other Public Sector</t>
  </si>
  <si>
    <t>Goods</t>
  </si>
  <si>
    <t>Receipts</t>
  </si>
  <si>
    <t>Payments</t>
  </si>
  <si>
    <t>Official</t>
  </si>
  <si>
    <t>Others</t>
  </si>
  <si>
    <t>Food grains</t>
  </si>
  <si>
    <t>Rice</t>
  </si>
  <si>
    <t>Wheat</t>
  </si>
  <si>
    <t>Spices</t>
  </si>
  <si>
    <t>Yarn</t>
  </si>
  <si>
    <t>Paper</t>
  </si>
  <si>
    <t>Cigarettes</t>
  </si>
  <si>
    <t>Food</t>
  </si>
  <si>
    <t>Chemicals</t>
  </si>
  <si>
    <t>Matches</t>
  </si>
  <si>
    <t>CPI</t>
  </si>
  <si>
    <t>General</t>
  </si>
  <si>
    <t>Inflation (General)</t>
  </si>
  <si>
    <t>Fishing</t>
  </si>
  <si>
    <t>Textile Industries</t>
  </si>
  <si>
    <t>Insurance</t>
  </si>
  <si>
    <t>B.</t>
  </si>
  <si>
    <t>(Percent per annum)</t>
  </si>
  <si>
    <t>Maturity of Deposits</t>
  </si>
  <si>
    <t>Borrowing Rate</t>
  </si>
  <si>
    <t>Highest</t>
  </si>
  <si>
    <t>Lowest</t>
  </si>
  <si>
    <t>Lending Rate</t>
  </si>
  <si>
    <t>Malaysia</t>
  </si>
  <si>
    <t>ACU Dollar</t>
  </si>
  <si>
    <t>Bahrain Dinar</t>
  </si>
  <si>
    <t>Canadian Dollar</t>
  </si>
  <si>
    <t>Danish Krone</t>
  </si>
  <si>
    <t>Indian Rupee</t>
  </si>
  <si>
    <t>Indonesian Rupiah</t>
  </si>
  <si>
    <t>Kuwaiti Dinar</t>
  </si>
  <si>
    <t>Nepalese Rupee</t>
  </si>
  <si>
    <t>New Zealand Dollar</t>
  </si>
  <si>
    <t>Norwegian Krone</t>
  </si>
  <si>
    <t>Omani Riyal</t>
  </si>
  <si>
    <t>Pakistani Rupee</t>
  </si>
  <si>
    <t>Philippines Peso</t>
  </si>
  <si>
    <t>Qatar Riyal</t>
  </si>
  <si>
    <t>Russian Ruble</t>
  </si>
  <si>
    <t>Saudi Arabian Riyal</t>
  </si>
  <si>
    <t>Singapore Dollar</t>
  </si>
  <si>
    <t>Swedish Krona</t>
  </si>
  <si>
    <t>SDR</t>
  </si>
  <si>
    <t>UAE Dirham</t>
  </si>
  <si>
    <t>US Dollar</t>
  </si>
  <si>
    <t>Australia</t>
  </si>
  <si>
    <t>Ukraine</t>
  </si>
  <si>
    <t>Argentina</t>
  </si>
  <si>
    <t>VAT</t>
  </si>
  <si>
    <t>Import</t>
  </si>
  <si>
    <t>Supplementary Tax</t>
  </si>
  <si>
    <t>Registration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</si>
  <si>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</si>
  <si>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</si>
  <si>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</si>
  <si>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</si>
  <si>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</si>
  <si>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</si>
  <si>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</si>
  <si>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</si>
  <si>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</si>
  <si>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</si>
  <si>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</si>
  <si>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</si>
  <si>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September</t>
  </si>
  <si>
    <t>December</t>
  </si>
  <si>
    <t>March</t>
  </si>
  <si>
    <t>June</t>
  </si>
  <si>
    <t>2005-06</t>
  </si>
  <si>
    <t>July</t>
  </si>
  <si>
    <t>August</t>
  </si>
  <si>
    <t>October</t>
  </si>
  <si>
    <t>November</t>
  </si>
  <si>
    <t>January</t>
  </si>
  <si>
    <t>February</t>
  </si>
  <si>
    <t>April</t>
  </si>
  <si>
    <t>May</t>
  </si>
  <si>
    <t>2006-07</t>
  </si>
  <si>
    <t>Weight</t>
  </si>
  <si>
    <t>Credit</t>
  </si>
  <si>
    <t xml:space="preserve">Domestic                                       </t>
  </si>
  <si>
    <t>Demand Deposits</t>
  </si>
  <si>
    <t>TABLE-IA (concld.)</t>
  </si>
  <si>
    <t>Nature of Deposits</t>
  </si>
  <si>
    <t>Cotton Yarn</t>
  </si>
  <si>
    <t>Cotton Cloth</t>
  </si>
  <si>
    <t>Newsprint</t>
  </si>
  <si>
    <t>Fertilizers</t>
  </si>
  <si>
    <t>Production Indices</t>
  </si>
  <si>
    <t>Agricultural Products</t>
  </si>
  <si>
    <t>Industrial Products</t>
  </si>
  <si>
    <t>70124</t>
  </si>
  <si>
    <t>17783</t>
  </si>
  <si>
    <t>5322</t>
  </si>
  <si>
    <t>81178</t>
  </si>
  <si>
    <t>5590</t>
  </si>
  <si>
    <t>37543</t>
  </si>
  <si>
    <t>66011</t>
  </si>
  <si>
    <t>3289</t>
  </si>
  <si>
    <t>48908</t>
  </si>
  <si>
    <t>7744</t>
  </si>
  <si>
    <t>34929</t>
  </si>
  <si>
    <t>12743</t>
  </si>
  <si>
    <t>11776</t>
  </si>
  <si>
    <t>10307</t>
  </si>
  <si>
    <t>43568</t>
  </si>
  <si>
    <t>15663</t>
  </si>
  <si>
    <t>472477</t>
  </si>
  <si>
    <t>Private Sector</t>
  </si>
  <si>
    <t>Total Domestic Credit (6+9+10)</t>
  </si>
  <si>
    <t>Other Revenue Receipts</t>
  </si>
  <si>
    <t>Post Office Revenue</t>
  </si>
  <si>
    <t>...</t>
  </si>
  <si>
    <t>Items</t>
  </si>
  <si>
    <t>Country of Origin &amp; Market</t>
  </si>
  <si>
    <t>U.K. (London)</t>
  </si>
  <si>
    <t>---</t>
  </si>
  <si>
    <t>Sugar</t>
  </si>
  <si>
    <t>1)</t>
  </si>
  <si>
    <t>2)</t>
  </si>
  <si>
    <t>3)</t>
  </si>
  <si>
    <t>4)</t>
  </si>
  <si>
    <t>5)</t>
  </si>
  <si>
    <t xml:space="preserve">Note     : </t>
  </si>
  <si>
    <t xml:space="preserve">SOME SELECTED COMMODITY PRICES </t>
  </si>
  <si>
    <t>Dubai* Fateh</t>
  </si>
  <si>
    <t>U.K. @ Brent</t>
  </si>
  <si>
    <t>United States (US Gulf Ports)</t>
  </si>
  <si>
    <t>Malaysia (NW Europe)</t>
  </si>
  <si>
    <t>All Origins (Dutch Ports)</t>
  </si>
  <si>
    <t>Working Capital to Large &amp; Medium Scale Industry</t>
  </si>
  <si>
    <t>Working Capital to Small Industry</t>
  </si>
  <si>
    <t>TABLE-XV (Contd.)</t>
  </si>
  <si>
    <t xml:space="preserve">Private                                                                                                                                          Banks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</si>
  <si>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Foreign                                                                                                                              Banks</t>
  </si>
  <si>
    <t>HSBC</t>
  </si>
  <si>
    <t>TABLE-XV (Concld.)</t>
  </si>
  <si>
    <t>Thailand (Bangkok)</t>
  </si>
  <si>
    <t>Thailand </t>
  </si>
  <si>
    <t>Australia </t>
  </si>
  <si>
    <t>E.U Import Price</t>
  </si>
  <si>
    <t>Free Market</t>
  </si>
  <si>
    <t>U.S. Import Price</t>
  </si>
  <si>
    <t>(In Percent) </t>
  </si>
  <si>
    <t>Australian Dollar</t>
  </si>
  <si>
    <t>Malaysian Ringgit</t>
  </si>
  <si>
    <t>Syrian Pound</t>
  </si>
  <si>
    <t>Mudaraba Savings Deposits</t>
  </si>
  <si>
    <t>Mudaraba Term Deposits</t>
  </si>
  <si>
    <t>a)</t>
  </si>
  <si>
    <t>3 years</t>
  </si>
  <si>
    <t>b)</t>
  </si>
  <si>
    <t>2 years</t>
  </si>
  <si>
    <t>c)</t>
  </si>
  <si>
    <t>d)</t>
  </si>
  <si>
    <t>6 months</t>
  </si>
  <si>
    <t>e)</t>
  </si>
  <si>
    <t>3 months</t>
  </si>
  <si>
    <t>Mudaraba Special Notice Deposits</t>
  </si>
  <si>
    <t>Monthly Term Savings Deposit</t>
  </si>
  <si>
    <t>Monthly Savings Investment Deposit</t>
  </si>
  <si>
    <t xml:space="preserve"> </t>
  </si>
  <si>
    <t xml:space="preserve">Deposits with </t>
  </si>
  <si>
    <t xml:space="preserve">MARKET CAPITALISATION (VALUE) OF ORDINARY SHARES OF COMPANIES </t>
  </si>
  <si>
    <t>Banks' Clearing House A/C during the Period</t>
  </si>
  <si>
    <t>Euro</t>
  </si>
  <si>
    <t xml:space="preserve">Note :      </t>
  </si>
  <si>
    <t xml:space="preserve">Net             </t>
  </si>
  <si>
    <t xml:space="preserve">Net                 </t>
  </si>
  <si>
    <t>9 = (7-8)</t>
  </si>
  <si>
    <t>6 = (4-5)</t>
  </si>
  <si>
    <t>3 = (1-2)</t>
  </si>
  <si>
    <t xml:space="preserve">Total             </t>
  </si>
  <si>
    <t>12 = (10+11)</t>
  </si>
  <si>
    <t xml:space="preserve">Total                        </t>
  </si>
  <si>
    <t xml:space="preserve">Total           </t>
  </si>
  <si>
    <t>14=(12+13)</t>
  </si>
  <si>
    <t>37=(14+36)</t>
  </si>
  <si>
    <t>38=(11-37)</t>
  </si>
  <si>
    <t>Others (Inclu-ding EPZ)</t>
  </si>
  <si>
    <t>10.09.08</t>
  </si>
  <si>
    <t>10.09.23</t>
  </si>
  <si>
    <t>14.01.09</t>
  </si>
  <si>
    <t>14.01.24</t>
  </si>
  <si>
    <t>11.02.09</t>
  </si>
  <si>
    <t>11.02.24</t>
  </si>
  <si>
    <t>11.03.09</t>
  </si>
  <si>
    <t>11.03.24</t>
  </si>
  <si>
    <t>10.06.09</t>
  </si>
  <si>
    <t>10.06.24</t>
  </si>
  <si>
    <t>15.07.09</t>
  </si>
  <si>
    <t>15.07.24</t>
  </si>
  <si>
    <t>12.08.09</t>
  </si>
  <si>
    <t>12.08.24</t>
  </si>
  <si>
    <t>09.09.09</t>
  </si>
  <si>
    <t>09.09.24</t>
  </si>
  <si>
    <t>GDP at Current Producer Price     (1 to 15)</t>
  </si>
  <si>
    <t>GDP at Current Market Price (16+17)</t>
  </si>
  <si>
    <t>Gross National Income (GNI) (18+19)</t>
  </si>
  <si>
    <t>GDP at Constant Producer Price     (1 to 15)</t>
  </si>
  <si>
    <t>GDP at Constant Market Price (16+17)</t>
  </si>
  <si>
    <t>Total Advances  (excluding    inter-bank)    (18+19)</t>
  </si>
  <si>
    <t>Total Bills   (excluding inter-bank) (22+23)</t>
  </si>
  <si>
    <t>Total Investment  (excluding        inter-bank)      (26+27)</t>
  </si>
  <si>
    <t>To            Banks     (17+21+25)</t>
  </si>
  <si>
    <t>Total    Deposit Liabilities    (37+38)</t>
  </si>
  <si>
    <t xml:space="preserve">Total Credit to Government (Gross) by the                Banking System </t>
  </si>
  <si>
    <t>Swiss Franc</t>
  </si>
  <si>
    <r>
      <rPr>
        <b/>
        <sz val="8"/>
        <color indexed="8"/>
        <rFont val="Times New Roman"/>
        <family val="1"/>
      </rPr>
      <t>Source:</t>
    </r>
    <r>
      <rPr>
        <sz val="8"/>
        <color indexed="8"/>
        <rFont val="Times New Roman"/>
        <family val="1"/>
      </rPr>
      <t xml:space="preserve"> </t>
    </r>
  </si>
  <si>
    <t>100588</t>
  </si>
  <si>
    <t>24223</t>
  </si>
  <si>
    <t>8114</t>
  </si>
  <si>
    <t>120108</t>
  </si>
  <si>
    <t>7195</t>
  </si>
  <si>
    <t>55658</t>
  </si>
  <si>
    <t>100295</t>
  </si>
  <si>
    <t>5150</t>
  </si>
  <si>
    <t>71880</t>
  </si>
  <si>
    <t>12300</t>
  </si>
  <si>
    <t>360845</t>
  </si>
  <si>
    <t>12.94</t>
  </si>
  <si>
    <t>6.07</t>
  </si>
  <si>
    <t>47536</t>
  </si>
  <si>
    <t>51959</t>
  </si>
  <si>
    <t>394419</t>
  </si>
  <si>
    <t>24705</t>
  </si>
  <si>
    <t>27003</t>
  </si>
  <si>
    <t>15.04.10</t>
  </si>
  <si>
    <t>15.04.25</t>
  </si>
  <si>
    <t>12.05.10</t>
  </si>
  <si>
    <t>12.05.25</t>
  </si>
  <si>
    <t>09.06.10</t>
  </si>
  <si>
    <t>09.06.25</t>
  </si>
  <si>
    <t>11.08.10</t>
  </si>
  <si>
    <t>11.08.25</t>
  </si>
  <si>
    <t>15.09.10</t>
  </si>
  <si>
    <t>15.09.25</t>
  </si>
  <si>
    <t>13.10.10</t>
  </si>
  <si>
    <t>13.10.25</t>
  </si>
  <si>
    <t>10.11.10</t>
  </si>
  <si>
    <t>10.11.25</t>
  </si>
  <si>
    <t>15.12.10</t>
  </si>
  <si>
    <t>15.12.25</t>
  </si>
  <si>
    <t>09.02.11</t>
  </si>
  <si>
    <t>09.02.26</t>
  </si>
  <si>
    <t>09.03.11</t>
  </si>
  <si>
    <t>09.03.26</t>
  </si>
  <si>
    <t>26.05.10</t>
  </si>
  <si>
    <t>26.05.30</t>
  </si>
  <si>
    <t>29.07.10</t>
  </si>
  <si>
    <t>29.07.30</t>
  </si>
  <si>
    <t>25.08.10</t>
  </si>
  <si>
    <t>25.08.30</t>
  </si>
  <si>
    <t>29.09.10</t>
  </si>
  <si>
    <t>29.09.30</t>
  </si>
  <si>
    <t>27.10.10</t>
  </si>
  <si>
    <t>27.10.30</t>
  </si>
  <si>
    <t>24.11.10</t>
  </si>
  <si>
    <t>24.11.30</t>
  </si>
  <si>
    <t>29.12.10</t>
  </si>
  <si>
    <t>26.01.11</t>
  </si>
  <si>
    <t>26.01.31</t>
  </si>
  <si>
    <t>23.02.11</t>
  </si>
  <si>
    <t>23.02.31</t>
  </si>
  <si>
    <t>23.03.11</t>
  </si>
  <si>
    <t>23.03.31</t>
  </si>
  <si>
    <t>13.04.11</t>
  </si>
  <si>
    <t>13.04.26</t>
  </si>
  <si>
    <t>27.04.11</t>
  </si>
  <si>
    <t>27.04.31</t>
  </si>
  <si>
    <t>Note :</t>
  </si>
  <si>
    <t>64604</t>
  </si>
  <si>
    <r>
      <rPr>
        <b/>
        <sz val="8"/>
        <color indexed="8"/>
        <rFont val="Times New Roman"/>
        <family val="1"/>
      </rPr>
      <t>Note:</t>
    </r>
    <r>
      <rPr>
        <sz val="8"/>
        <color indexed="8"/>
        <rFont val="Times New Roman"/>
        <family val="1"/>
      </rPr>
      <t xml:space="preserve">   </t>
    </r>
  </si>
  <si>
    <t>IV</t>
  </si>
  <si>
    <t>V</t>
  </si>
  <si>
    <t>VI</t>
  </si>
  <si>
    <t>VII</t>
  </si>
  <si>
    <t>VIII</t>
  </si>
  <si>
    <t>X</t>
  </si>
  <si>
    <t>XI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</si>
  <si>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</si>
  <si>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</si>
  <si>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</si>
  <si>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</si>
  <si>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</si>
  <si>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</si>
  <si>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</si>
  <si>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</si>
  <si>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</si>
  <si>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</si>
  <si>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</si>
  <si>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</si>
  <si>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</si>
  <si>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</si>
  <si>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</si>
  <si>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Italy</t>
  </si>
  <si>
    <t xml:space="preserve">Note   : </t>
  </si>
  <si>
    <t xml:space="preserve">     Source :</t>
  </si>
  <si>
    <t xml:space="preserve">     Note :</t>
  </si>
  <si>
    <t>2011-12</t>
  </si>
  <si>
    <t>South Korea</t>
  </si>
  <si>
    <t xml:space="preserve">Source :   </t>
  </si>
  <si>
    <t>1 Bushel</t>
  </si>
  <si>
    <t>STATISTICAL TABLES</t>
  </si>
  <si>
    <t>IA</t>
  </si>
  <si>
    <t>IB</t>
  </si>
  <si>
    <t>IIA</t>
  </si>
  <si>
    <t>IIB</t>
  </si>
  <si>
    <t>Claims on Resident Sector by the Banking System</t>
  </si>
  <si>
    <t>IIC</t>
  </si>
  <si>
    <t>IID</t>
  </si>
  <si>
    <t>IIE</t>
  </si>
  <si>
    <t>IIF</t>
  </si>
  <si>
    <t>IIIA</t>
  </si>
  <si>
    <t>Balance of  Payments</t>
  </si>
  <si>
    <t>IIIB</t>
  </si>
  <si>
    <t>Foreign Trade</t>
  </si>
  <si>
    <t xml:space="preserve">Production of Major Agricultural Commodities </t>
  </si>
  <si>
    <t xml:space="preserve">Production of Major Industrial Commodities (Other than Jute Goods) </t>
  </si>
  <si>
    <t>Average Prices of Selected Commodities</t>
  </si>
  <si>
    <t>Gross Domestic Product of Bangladesh at Current Market Price</t>
  </si>
  <si>
    <t xml:space="preserve">Gross Domestic Product of Bangladesh at Constant Market Price </t>
  </si>
  <si>
    <t>Key Indicators of National Accounts</t>
  </si>
  <si>
    <t xml:space="preserve">Interest Rate Structure of Government Securities/Bonds and Savings Instruments </t>
  </si>
  <si>
    <t xml:space="preserve">Rate of Interest on Non-resident Foreign Currency Deposit (NFCD) Accounts </t>
  </si>
  <si>
    <t>Monthly Average Call Money Market Rates</t>
  </si>
  <si>
    <t>Some Indicators of Income, Expenditure &amp; Profitability of the Banking Sector</t>
  </si>
  <si>
    <t>Country-wise Workers’ Remittances</t>
  </si>
  <si>
    <t>Exchange Rates (Taka Per Currencies)</t>
  </si>
  <si>
    <t>Appreciation/Depreciation of Some Selected Currencies Against U.S. Dollar</t>
  </si>
  <si>
    <t>Some Selected Commodity Prices at International Markets</t>
  </si>
  <si>
    <t>Mudaraba Education Deposit Scheme</t>
  </si>
  <si>
    <t>Mudaraba Monthly Profit Deposit Scheme (5 yrs.)</t>
  </si>
  <si>
    <t>Mudaraba Monthly Profit Deposit Scheme (3 yrs.)</t>
  </si>
  <si>
    <t>Market Capitalisation (Value) of Ordinary Shares of Companies Listed with the Dhaka Stock Exchange Ltd.</t>
  </si>
  <si>
    <t>Monetary Survey (M2)</t>
  </si>
  <si>
    <t xml:space="preserve">Monetary Survey (M3)  </t>
  </si>
  <si>
    <t>Cash     Base     of the Economy (3+42)</t>
  </si>
  <si>
    <t>Portfolio  Investment</t>
  </si>
  <si>
    <t>Other Investment</t>
  </si>
  <si>
    <t>Reserve Assets</t>
  </si>
  <si>
    <t xml:space="preserve">   Lea-  ther</t>
  </si>
  <si>
    <t>Ready made Garments    (including   Knit Wear  &amp; Hosiery)</t>
  </si>
  <si>
    <t>News  Print</t>
  </si>
  <si>
    <t>Ferti-lizers</t>
  </si>
  <si>
    <t>Oil  seeds</t>
  </si>
  <si>
    <t xml:space="preserve">    Edible      oil</t>
  </si>
  <si>
    <t>Chemi-  cals</t>
  </si>
  <si>
    <t>Staple fibres</t>
  </si>
  <si>
    <t>Iron  &amp; Steel</t>
  </si>
  <si>
    <t xml:space="preserve">      Qatar     Riyal</t>
  </si>
  <si>
    <t xml:space="preserve">     Swiss    Franc</t>
  </si>
  <si>
    <t xml:space="preserve">   Customs     Duty</t>
  </si>
  <si>
    <t xml:space="preserve">     Income   Tax</t>
  </si>
  <si>
    <t>Soybean  (US $/ MT)</t>
  </si>
  <si>
    <t>  Total Credit    (excluding        inter-bank)  (20+24+28)</t>
  </si>
  <si>
    <t>Average Credit per    DMB       Branch    (in crore)</t>
  </si>
  <si>
    <t>Total (excluding inter-bank) (7+10)</t>
  </si>
  <si>
    <t xml:space="preserve">  Other Resident      Sector </t>
  </si>
  <si>
    <t xml:space="preserve">     Other Resident           Sector</t>
  </si>
  <si>
    <t xml:space="preserve">    Equity    Capital</t>
  </si>
  <si>
    <t xml:space="preserve">   Equity    Capital</t>
  </si>
  <si>
    <t xml:space="preserve">    Total   Manpower</t>
  </si>
  <si>
    <t>Total   Manpower</t>
  </si>
  <si>
    <t xml:space="preserve">  Net Profit After Tax</t>
  </si>
  <si>
    <t xml:space="preserve">     Net      Profit</t>
  </si>
  <si>
    <t xml:space="preserve">    Total       Income</t>
  </si>
  <si>
    <t xml:space="preserve">     Total    Manpower</t>
  </si>
  <si>
    <t xml:space="preserve">    In taka    A/C</t>
  </si>
  <si>
    <t xml:space="preserve">  Govern-     ment    (Net)</t>
  </si>
  <si>
    <t xml:space="preserve">  Banking Sector</t>
  </si>
  <si>
    <t xml:space="preserve">  Total (1+2+3)</t>
  </si>
  <si>
    <t xml:space="preserve">   Total  (5+6+7)</t>
  </si>
  <si>
    <t>Total (9+10)</t>
  </si>
  <si>
    <t xml:space="preserve">   Banking  Sector</t>
  </si>
  <si>
    <t>Total  (12+13)</t>
  </si>
  <si>
    <t>Editorial Committee</t>
  </si>
  <si>
    <t>Chairman</t>
  </si>
  <si>
    <t xml:space="preserve">Members </t>
  </si>
  <si>
    <t xml:space="preserve">Statistics Department </t>
  </si>
  <si>
    <t xml:space="preserve">Bangladesh Bank         </t>
  </si>
  <si>
    <t>Ratio of DMBs Credit to Deposits  (in percent) </t>
  </si>
  <si>
    <t xml:space="preserve">       Coal            (US $/MT)</t>
  </si>
  <si>
    <t>Reinvested  Earning</t>
  </si>
  <si>
    <t xml:space="preserve">  Intra-company Loans</t>
  </si>
  <si>
    <t>Intra-company Loans</t>
  </si>
  <si>
    <t>Reinvested Earning</t>
  </si>
  <si>
    <t>Petro- leum Products</t>
  </si>
  <si>
    <t>Others (Including EPZ)</t>
  </si>
  <si>
    <t xml:space="preserve">  Pulses     (all sorts)</t>
  </si>
  <si>
    <t xml:space="preserve">        Area       (in '000' acres)</t>
  </si>
  <si>
    <t xml:space="preserve">      Total          Manpower</t>
  </si>
  <si>
    <t xml:space="preserve"> Net Profit After Tax</t>
  </si>
  <si>
    <t xml:space="preserve">    Total   Income</t>
  </si>
  <si>
    <t xml:space="preserve">    Total    Income</t>
  </si>
  <si>
    <t>13.07.11</t>
  </si>
  <si>
    <t>10.08.11</t>
  </si>
  <si>
    <t>13.07.21</t>
  </si>
  <si>
    <t>10.08.21</t>
  </si>
  <si>
    <t>( Inflation, Production Index, Foreign Trade,</t>
  </si>
  <si>
    <t xml:space="preserve">CLAIMS ON RESIDENT SECTORS </t>
  </si>
  <si>
    <t xml:space="preserve"> &lt; 1.00 crore</t>
  </si>
  <si>
    <t>1.00 crore but  &lt; 25.00 crore</t>
  </si>
  <si>
    <t>25.00 crore but  &lt; 50.00 crore</t>
  </si>
  <si>
    <t>50.00 crore but  &lt; 100.00 crore</t>
  </si>
  <si>
    <t>3 months but &lt;6 months</t>
  </si>
  <si>
    <t>6 months but &lt; 1 year</t>
  </si>
  <si>
    <t>1 year but&lt; 2 years</t>
  </si>
  <si>
    <t>2 years but &lt; 3 years</t>
  </si>
  <si>
    <t>3 years &amp; above</t>
  </si>
  <si>
    <t>Special Notice Deposits (SND):</t>
  </si>
  <si>
    <t>Reserve Money (1+2+3+5)</t>
  </si>
  <si>
    <t>Commercial Banks</t>
  </si>
  <si>
    <t>SOME INDICATORS OF INCOME, EXPENDITURE &amp;</t>
  </si>
  <si>
    <t>PROFITABILITY OF THE BANKING SECTOR</t>
  </si>
  <si>
    <t>State Owned Banks</t>
  </si>
  <si>
    <t xml:space="preserve">      Total Income</t>
  </si>
  <si>
    <t xml:space="preserve"> Financial  Corporation</t>
  </si>
  <si>
    <t xml:space="preserve">BANK WISE ANNOUNCED INTEREST RATE STRUCTURE </t>
  </si>
  <si>
    <t xml:space="preserve">Claims on Resident Sectors by Depository Corporations </t>
  </si>
  <si>
    <t>385050</t>
  </si>
  <si>
    <t>14.75</t>
  </si>
  <si>
    <t>6.71</t>
  </si>
  <si>
    <t>14.97</t>
  </si>
  <si>
    <t>15.16</t>
  </si>
  <si>
    <t>207</t>
  </si>
  <si>
    <t>25721</t>
  </si>
  <si>
    <t>420097</t>
  </si>
  <si>
    <t>28072</t>
  </si>
  <si>
    <t>Annual Growth    of GDP at Current Market Price %</t>
  </si>
  <si>
    <t>72514</t>
  </si>
  <si>
    <t>GDP Deflator</t>
  </si>
  <si>
    <r>
      <rPr>
        <b/>
        <sz val="8"/>
        <rFont val="Times New Roman"/>
        <family val="1"/>
      </rPr>
      <t>Source :</t>
    </r>
    <r>
      <rPr>
        <sz val="8"/>
        <rFont val="Times New Roman"/>
        <family val="1"/>
      </rPr>
      <t xml:space="preserve"> </t>
    </r>
  </si>
  <si>
    <t xml:space="preserve">Deputy General Manager            </t>
  </si>
  <si>
    <t>2012-13</t>
  </si>
  <si>
    <t>Currency Out side Banks</t>
  </si>
  <si>
    <t>Point- to- Point (Base: 2005-06=100)</t>
  </si>
  <si>
    <t>Point- to- Point (Base: 1995-96=100)</t>
  </si>
  <si>
    <t>12- Month Average (Base: 2005-06=100)</t>
  </si>
  <si>
    <t>12- Month Average (Base: 1995-96=100)</t>
  </si>
  <si>
    <r>
      <t xml:space="preserve">Rate of Inflation in Bangladesh </t>
    </r>
    <r>
      <rPr>
        <b/>
        <sz val="9"/>
        <color indexed="8"/>
        <rFont val="Times New Roman"/>
        <family val="1"/>
      </rPr>
      <t xml:space="preserve">  Measured by Consumer  Price Index  (CPI)      </t>
    </r>
  </si>
  <si>
    <t>General (Mfg)</t>
  </si>
  <si>
    <t>Chinese Yuan</t>
  </si>
  <si>
    <t xml:space="preserve"> Danish Krone</t>
  </si>
  <si>
    <t xml:space="preserve"> Hongkong Dollar</t>
  </si>
  <si>
    <t>Indone-sian   Rupiah</t>
  </si>
  <si>
    <t>Japanese  Yen</t>
  </si>
  <si>
    <t>Kuwait Dinar</t>
  </si>
  <si>
    <t>Malay-sian Ringgit</t>
  </si>
  <si>
    <t>Myan-mar Kyat</t>
  </si>
  <si>
    <t>Pakistan Rupee</t>
  </si>
  <si>
    <t>Russian Rouble</t>
  </si>
  <si>
    <t xml:space="preserve">  Saudi    Riyal</t>
  </si>
  <si>
    <t xml:space="preserve"> Singapore    Dollar</t>
  </si>
  <si>
    <t xml:space="preserve"> Swedish  Krona</t>
  </si>
  <si>
    <t>Sri Lankan Rupee</t>
  </si>
  <si>
    <t xml:space="preserve">   Index of Industrial Production     Base:  1988-89=100</t>
  </si>
  <si>
    <t>Foreign Banks</t>
  </si>
  <si>
    <t xml:space="preserve">SOME INDICATORS OF INCOME, EXPENDITURE &amp; </t>
  </si>
  <si>
    <t>APPRECIATION / DEPRECIATION OF SELECTED</t>
  </si>
  <si>
    <t xml:space="preserve">2011-12 </t>
  </si>
  <si>
    <t>Commercial                                                                    Banks</t>
  </si>
  <si>
    <t xml:space="preserve">     Total  Manpower</t>
  </si>
  <si>
    <t>Bangladesh Bank</t>
  </si>
  <si>
    <t xml:space="preserve">Monthly </t>
  </si>
  <si>
    <t>Economic Trends</t>
  </si>
  <si>
    <t>No interest</t>
  </si>
  <si>
    <t xml:space="preserve">No interest </t>
  </si>
  <si>
    <t xml:space="preserve"> No interest</t>
  </si>
  <si>
    <t>i) Before six months from the date of issue</t>
  </si>
  <si>
    <t>ii) On completion of six months but before one year</t>
  </si>
  <si>
    <t>iii) On completion of one year but before 1½ year</t>
  </si>
  <si>
    <t>iv) On completion of 1½ years but before two year</t>
  </si>
  <si>
    <t>v) On completion of two years and thereafter</t>
  </si>
  <si>
    <t xml:space="preserve">vi) On completion of five years and thereafter </t>
  </si>
  <si>
    <t>a) Ordinary Account</t>
  </si>
  <si>
    <t>a) Dhaka and Chittagong Metropolitan Cities</t>
  </si>
  <si>
    <t>b) Other Divisional/District Head Quarters.</t>
  </si>
  <si>
    <t>c) Fixed Deposit Account (Interest after 6 months)</t>
  </si>
  <si>
    <t xml:space="preserve">i) Within one year from the date of issue </t>
  </si>
  <si>
    <t>ii) After completion of one year but within two years</t>
  </si>
  <si>
    <t>iii) After completion of two years but within three years</t>
  </si>
  <si>
    <t>iii) For three years</t>
  </si>
  <si>
    <t>ii) For two years</t>
  </si>
  <si>
    <t>i) For one year</t>
  </si>
  <si>
    <t>b) Fixed Deposit Account (Interest after maturity)</t>
  </si>
  <si>
    <t xml:space="preserve">  Furniture, Furnishing   &amp; Others</t>
  </si>
  <si>
    <t xml:space="preserve">  Misc. Goods &amp; Services</t>
  </si>
  <si>
    <t xml:space="preserve">With effect from 01.07.06  </t>
  </si>
  <si>
    <t>Interest Rates on Deposits with Directorate of National Savings</t>
  </si>
  <si>
    <t>i) Tin Mas Antar Munafa Vittik Sanchayapatra</t>
  </si>
  <si>
    <t>ii) 5-year  Bangladesh Sanchayapatra</t>
  </si>
  <si>
    <t>iii) 5-year  Pensioner Sanchaya Patra after 3-month interest</t>
  </si>
  <si>
    <t>iv) 5-year  Paribar Sanchayapatra after monthly interest</t>
  </si>
  <si>
    <t>iv) After completion of three years</t>
  </si>
  <si>
    <t>With effect from 29.08.99</t>
  </si>
  <si>
    <t>With effect from 24.10.01</t>
  </si>
  <si>
    <t>With effect from 30.10.01</t>
  </si>
  <si>
    <t xml:space="preserve">With effect from 17.07.04   </t>
  </si>
  <si>
    <t xml:space="preserve">With effect from 04.12.05   </t>
  </si>
  <si>
    <t xml:space="preserve">With effect from 13.06.07  </t>
  </si>
  <si>
    <t xml:space="preserve">With effect from 01.07.10  </t>
  </si>
  <si>
    <t xml:space="preserve">  With effect from 01.07.11  </t>
  </si>
  <si>
    <t>With effect from 01.03.12</t>
  </si>
  <si>
    <t>Interest Rates on Construction Loans Provided by House Building Finance Corporation</t>
  </si>
  <si>
    <t xml:space="preserve">INTEREST RATE STRUCTURE OF </t>
  </si>
  <si>
    <t>INTEREST RATE STRUCTURE OF</t>
  </si>
  <si>
    <t>GOVERNMENT SECURITIES/BONDS</t>
  </si>
  <si>
    <t>d)  Savings Bond (Islami Bond)</t>
  </si>
  <si>
    <t xml:space="preserve">      Total  Domestic         Credit </t>
  </si>
  <si>
    <t>Income / Primary Income</t>
  </si>
  <si>
    <t>Current Transfers (Net)/ Secondary Income (Net)</t>
  </si>
  <si>
    <t>19=(15+16+17+18)</t>
  </si>
  <si>
    <t xml:space="preserve"> Financial    Account  (Net)</t>
  </si>
  <si>
    <t>Capital Account (Net)</t>
  </si>
  <si>
    <t>Direct  Investment</t>
  </si>
  <si>
    <t>End            of        Period</t>
  </si>
  <si>
    <t>Total          (7+8)</t>
  </si>
  <si>
    <t xml:space="preserve"> Private       Sector</t>
  </si>
  <si>
    <t xml:space="preserve"> Net          Other   Assets</t>
  </si>
  <si>
    <t>Net          Domestic      Assets     (11+12)</t>
  </si>
  <si>
    <t>End                   of             Period</t>
  </si>
  <si>
    <t>End                     of             Period</t>
  </si>
  <si>
    <t>Total Domestic Credit</t>
  </si>
  <si>
    <t>Local               Authorities</t>
  </si>
  <si>
    <t>End               of          Period</t>
  </si>
  <si>
    <t>Net  Other Assets</t>
  </si>
  <si>
    <t>End              of        Period</t>
  </si>
  <si>
    <r>
      <t xml:space="preserve">Total         Domestic        Credit       </t>
    </r>
    <r>
      <rPr>
        <sz val="8"/>
        <color indexed="8"/>
        <rFont val="Times New Roman"/>
        <family val="1"/>
      </rPr>
      <t>(8+11+14)</t>
    </r>
  </si>
  <si>
    <t>Net            Other      Assets</t>
  </si>
  <si>
    <t>Net            Domestic         Assets      (15+16)</t>
  </si>
  <si>
    <t xml:space="preserve">Export        (f.o.b) </t>
  </si>
  <si>
    <t>Import        (f.o.b)</t>
  </si>
  <si>
    <t xml:space="preserve">Trade       Balance </t>
  </si>
  <si>
    <t xml:space="preserve">Current            Account        Balance         </t>
  </si>
  <si>
    <t>Crude Petroleum</t>
  </si>
  <si>
    <t xml:space="preserve">Total     Imports        </t>
  </si>
  <si>
    <t>Total   (15 through 35)</t>
  </si>
  <si>
    <t xml:space="preserve">Balance   of Trade         </t>
  </si>
  <si>
    <t xml:space="preserve"> '000'          Metres </t>
  </si>
  <si>
    <t xml:space="preserve"> '000'          Bales</t>
  </si>
  <si>
    <t xml:space="preserve"> Metric      Tons</t>
  </si>
  <si>
    <t xml:space="preserve">  Lac            Sticks</t>
  </si>
  <si>
    <t xml:space="preserve">  Metric   Tons</t>
  </si>
  <si>
    <t xml:space="preserve"> '000'        Gross Box</t>
  </si>
  <si>
    <t xml:space="preserve"> Metric     Tons</t>
  </si>
  <si>
    <t xml:space="preserve"> Metric        Tons</t>
  </si>
  <si>
    <t>End of    Period</t>
  </si>
  <si>
    <t>End of        Period</t>
  </si>
  <si>
    <t xml:space="preserve">  End of          Period</t>
  </si>
  <si>
    <t xml:space="preserve">  End of       Period</t>
  </si>
  <si>
    <t>Excise         Duty</t>
  </si>
  <si>
    <t>Land                 Revenue</t>
  </si>
  <si>
    <t>Other          Taxes</t>
  </si>
  <si>
    <t>Total              Tax</t>
  </si>
  <si>
    <t xml:space="preserve"> Forest       Revenue</t>
  </si>
  <si>
    <t xml:space="preserve"> Raw Jute</t>
  </si>
  <si>
    <t>Total (1+2)</t>
  </si>
  <si>
    <t>End                  of             Period</t>
  </si>
  <si>
    <t xml:space="preserve">  1) Post Office Savings Deposits</t>
  </si>
  <si>
    <t xml:space="preserve">  2) Interest Rates on National Savings Certificates</t>
  </si>
  <si>
    <t>22.06.16</t>
  </si>
  <si>
    <t>23.10.11</t>
  </si>
  <si>
    <t>11.04.12</t>
  </si>
  <si>
    <t>16.05.12</t>
  </si>
  <si>
    <t>11.04.22</t>
  </si>
  <si>
    <t>16.05.22</t>
  </si>
  <si>
    <t>13.06.12</t>
  </si>
  <si>
    <t>13.06.22</t>
  </si>
  <si>
    <t>11.07.12</t>
  </si>
  <si>
    <t>22.08.12</t>
  </si>
  <si>
    <t>22.08.22</t>
  </si>
  <si>
    <t>12.09.12</t>
  </si>
  <si>
    <t>10.10.12</t>
  </si>
  <si>
    <t>10.10.22</t>
  </si>
  <si>
    <t>14.11.12</t>
  </si>
  <si>
    <t>12.12.12</t>
  </si>
  <si>
    <t>09.01.13</t>
  </si>
  <si>
    <t>13.02.13</t>
  </si>
  <si>
    <t>13.03.13</t>
  </si>
  <si>
    <t>13.03.23</t>
  </si>
  <si>
    <t>23.10.24</t>
  </si>
  <si>
    <t>18.04.12</t>
  </si>
  <si>
    <t>18.04.27</t>
  </si>
  <si>
    <t>23.05.12</t>
  </si>
  <si>
    <t>23.05.27</t>
  </si>
  <si>
    <t>20.06.12</t>
  </si>
  <si>
    <t>20.06.27</t>
  </si>
  <si>
    <t>18.07.12</t>
  </si>
  <si>
    <t>18.07.27</t>
  </si>
  <si>
    <t>19.09.12</t>
  </si>
  <si>
    <t>19.09.27</t>
  </si>
  <si>
    <t>17.10.12</t>
  </si>
  <si>
    <t>17.10.27</t>
  </si>
  <si>
    <t>21.11.12</t>
  </si>
  <si>
    <t>21.11.27</t>
  </si>
  <si>
    <t>19.12.12</t>
  </si>
  <si>
    <t>19.12.27</t>
  </si>
  <si>
    <t>23.11.11</t>
  </si>
  <si>
    <t>23.11.31</t>
  </si>
  <si>
    <t>Currency    Outside       Banks        (3-4)</t>
  </si>
  <si>
    <t>End            of       Period</t>
  </si>
  <si>
    <t>From      Banks</t>
  </si>
  <si>
    <t>Time     Deposits</t>
  </si>
  <si>
    <t>Total   (8+9)</t>
  </si>
  <si>
    <t>Inter          Bank    Bills</t>
  </si>
  <si>
    <t xml:space="preserve"> Private    Bills</t>
  </si>
  <si>
    <t>Inter         Bank          Invest-   ment</t>
  </si>
  <si>
    <t>To       Public</t>
  </si>
  <si>
    <t>To         Private</t>
  </si>
  <si>
    <t>To             Private     (19+23+27)</t>
  </si>
  <si>
    <t>From      Govern-   ment</t>
  </si>
  <si>
    <t xml:space="preserve">  From        BB</t>
  </si>
  <si>
    <t>From      Other Financial Institutions</t>
  </si>
  <si>
    <t xml:space="preserve">                           DMBs  Credit                            (Advances + Bills + Investment) </t>
  </si>
  <si>
    <t xml:space="preserve">  From        Inter-    Banks</t>
  </si>
  <si>
    <t>14.09.11</t>
  </si>
  <si>
    <t>14.09.21</t>
  </si>
  <si>
    <t>12.10.11</t>
  </si>
  <si>
    <t>12.10.21</t>
  </si>
  <si>
    <t>10.11.11</t>
  </si>
  <si>
    <t>10.11.21</t>
  </si>
  <si>
    <t>14.12.11</t>
  </si>
  <si>
    <t>14.12.21</t>
  </si>
  <si>
    <t>11.01.12</t>
  </si>
  <si>
    <t>11.01.22</t>
  </si>
  <si>
    <t>15.02.12</t>
  </si>
  <si>
    <t>15.02.22</t>
  </si>
  <si>
    <t>14.03.12</t>
  </si>
  <si>
    <t>14.03.22</t>
  </si>
  <si>
    <t>11.05.11</t>
  </si>
  <si>
    <t>11.05.26</t>
  </si>
  <si>
    <t>15.06.11</t>
  </si>
  <si>
    <t>15.06.26</t>
  </si>
  <si>
    <t>17.08.11</t>
  </si>
  <si>
    <t>17.08.26</t>
  </si>
  <si>
    <t>21.09.11</t>
  </si>
  <si>
    <t>21.09.26</t>
  </si>
  <si>
    <t>16.11.11</t>
  </si>
  <si>
    <t>16.11.26</t>
  </si>
  <si>
    <t>18.01.12</t>
  </si>
  <si>
    <t>18.01.27</t>
  </si>
  <si>
    <t>22.02.12</t>
  </si>
  <si>
    <t>22.02.27</t>
  </si>
  <si>
    <t>21.03.12</t>
  </si>
  <si>
    <t>21.03.27</t>
  </si>
  <si>
    <t xml:space="preserve">Note  : </t>
  </si>
  <si>
    <t>10.04.13</t>
  </si>
  <si>
    <t>10.04.23</t>
  </si>
  <si>
    <t>20.03.13</t>
  </si>
  <si>
    <t>20.03.28</t>
  </si>
  <si>
    <t>13.24*</t>
  </si>
  <si>
    <t>17.04.13</t>
  </si>
  <si>
    <t>17.04.28</t>
  </si>
  <si>
    <t>15.24</t>
  </si>
  <si>
    <t>6.23</t>
  </si>
  <si>
    <t>22.05.13</t>
  </si>
  <si>
    <t>22.05.28</t>
  </si>
  <si>
    <t>448839</t>
  </si>
  <si>
    <t>225</t>
  </si>
  <si>
    <t>26982</t>
  </si>
  <si>
    <t>29607</t>
  </si>
  <si>
    <t>19.06.13</t>
  </si>
  <si>
    <t>19.06.28</t>
  </si>
  <si>
    <t>29.06.13</t>
  </si>
  <si>
    <t>29.06.23</t>
  </si>
  <si>
    <t>29.06.21</t>
  </si>
  <si>
    <t>09.07.08</t>
  </si>
  <si>
    <t>09.07.23</t>
  </si>
  <si>
    <t>No. of Instruments</t>
  </si>
  <si>
    <t>Total No. of Branches of State Owned Commerc-ial Banks </t>
  </si>
  <si>
    <t>Ratio of Cash in hand and balances with the BB to Deposits (in percent)</t>
  </si>
  <si>
    <t>Note  :</t>
  </si>
  <si>
    <t>1. Weighted average rates of interest on scheduled banks deposits &amp; advances have been introduced monthly basis instead of  quarterly</t>
  </si>
  <si>
    <t>2013-14</t>
  </si>
  <si>
    <t xml:space="preserve">   Urea        (US $/ MT)</t>
  </si>
  <si>
    <t xml:space="preserve">    Sugar                                              (US cents/pound)</t>
  </si>
  <si>
    <t>Rice             (US $/MT)</t>
  </si>
  <si>
    <t xml:space="preserve">  Petroleum              (US$/ Barrel)</t>
  </si>
  <si>
    <t xml:space="preserve"> DSE Broad                   Index</t>
  </si>
  <si>
    <t>17.07.13</t>
  </si>
  <si>
    <t>17.07.23</t>
  </si>
  <si>
    <t xml:space="preserve"> Total                        (1+2)</t>
  </si>
  <si>
    <t xml:space="preserve"> Rice                 (US $/MT) </t>
  </si>
  <si>
    <t xml:space="preserve">  Super        phosphate       (US $/ MT)</t>
  </si>
  <si>
    <t>Period      Average</t>
  </si>
  <si>
    <t>End          Period</t>
  </si>
  <si>
    <t xml:space="preserve"> End                  Period</t>
  </si>
  <si>
    <t>End Period</t>
  </si>
  <si>
    <t>Period Average</t>
  </si>
  <si>
    <t xml:space="preserve">         SOME INDICATORS OF INCOME, EXPENDITURE &amp; </t>
  </si>
  <si>
    <t xml:space="preserve">   PROFITABILITY  OF THE BANKING SECTOR</t>
  </si>
  <si>
    <t>20.11.13</t>
  </si>
  <si>
    <t>20.11.23</t>
  </si>
  <si>
    <t>2012-13*</t>
  </si>
  <si>
    <t>26.12.13</t>
  </si>
  <si>
    <t>26.12.28</t>
  </si>
  <si>
    <t>26.12.33</t>
  </si>
  <si>
    <t xml:space="preserve">Figures relating to Islamic Investment Bond is re-classified as claims on other public sector instead of other assets </t>
  </si>
  <si>
    <t>29.01.14</t>
  </si>
  <si>
    <t>29.01.34</t>
  </si>
  <si>
    <t>29.01.29</t>
  </si>
  <si>
    <t>26.02.14</t>
  </si>
  <si>
    <t>26.02.34</t>
  </si>
  <si>
    <t>26.02.29</t>
  </si>
  <si>
    <t>19.03.14</t>
  </si>
  <si>
    <t>19.03.24</t>
  </si>
  <si>
    <t>Short Term FC Deposit Liabilities</t>
  </si>
  <si>
    <t>27.03.14</t>
  </si>
  <si>
    <t>27.03.29</t>
  </si>
  <si>
    <t>23.04.14</t>
  </si>
  <si>
    <t>23.04.29</t>
  </si>
  <si>
    <t>27.03.34</t>
  </si>
  <si>
    <t>23.04.34</t>
  </si>
  <si>
    <t>6.00-7.00</t>
  </si>
  <si>
    <t>28.05.14</t>
  </si>
  <si>
    <t>28.05.34</t>
  </si>
  <si>
    <t>25.06.34</t>
  </si>
  <si>
    <t>25.06.14</t>
  </si>
  <si>
    <t>28.05.29</t>
  </si>
  <si>
    <t>25.06.29</t>
  </si>
  <si>
    <t>2011-12*</t>
  </si>
  <si>
    <t>646342</t>
  </si>
  <si>
    <t>14.83</t>
  </si>
  <si>
    <t>6.46</t>
  </si>
  <si>
    <t>688493</t>
  </si>
  <si>
    <t>15.22</t>
  </si>
  <si>
    <t>6.52</t>
  </si>
  <si>
    <t>729897</t>
  </si>
  <si>
    <t>6.01</t>
  </si>
  <si>
    <t>13.62</t>
  </si>
  <si>
    <t>15.37</t>
  </si>
  <si>
    <t>15.58</t>
  </si>
  <si>
    <t>2014-15</t>
  </si>
  <si>
    <t>23.07.14</t>
  </si>
  <si>
    <t>23.07.29</t>
  </si>
  <si>
    <t>27.08.14</t>
  </si>
  <si>
    <t>27.08.29</t>
  </si>
  <si>
    <t>23.07.34</t>
  </si>
  <si>
    <t>27.08.34</t>
  </si>
  <si>
    <t>24.09.14</t>
  </si>
  <si>
    <t>24.09.29</t>
  </si>
  <si>
    <t>24.09.34</t>
  </si>
  <si>
    <t>788602</t>
  </si>
  <si>
    <t>746761</t>
  </si>
  <si>
    <t>697469</t>
  </si>
  <si>
    <t>51311</t>
  </si>
  <si>
    <t>49265</t>
  </si>
  <si>
    <t>46610</t>
  </si>
  <si>
    <t>12.59**</t>
  </si>
  <si>
    <t>13.19***</t>
  </si>
  <si>
    <t>13.45****</t>
  </si>
  <si>
    <t>11.80*****</t>
  </si>
  <si>
    <t>12.00*****</t>
  </si>
  <si>
    <t>2012**</t>
  </si>
  <si>
    <t>29.10.14</t>
  </si>
  <si>
    <t>29.10.29</t>
  </si>
  <si>
    <t>26.11.14</t>
  </si>
  <si>
    <t>26.11.29</t>
  </si>
  <si>
    <t>26.11.34</t>
  </si>
  <si>
    <t>29.10.34</t>
  </si>
  <si>
    <t>29.12.30</t>
  </si>
  <si>
    <t>Iron Ore (US $ /MT)</t>
  </si>
  <si>
    <t>China (CFR Tianjin Port)</t>
  </si>
  <si>
    <t>IIG</t>
  </si>
  <si>
    <t>E-Banking &amp; E-Commerce Statistics</t>
  </si>
  <si>
    <t>IXA</t>
  </si>
  <si>
    <t>IXB</t>
  </si>
  <si>
    <t>IXC</t>
  </si>
  <si>
    <t>XIIA</t>
  </si>
  <si>
    <t>XIIB</t>
  </si>
  <si>
    <t>TABLE-VI</t>
  </si>
  <si>
    <t xml:space="preserve">TABLE- VII </t>
  </si>
  <si>
    <t>TABLE-VIII</t>
  </si>
  <si>
    <t>TABLE-IXA</t>
  </si>
  <si>
    <t>TABLE-IXB</t>
  </si>
  <si>
    <t>TABLE-IXC</t>
  </si>
  <si>
    <t>TABLE-XI</t>
  </si>
  <si>
    <t>TABLE-XIIA (Concld.)</t>
  </si>
  <si>
    <t>TABLE-XIII (Contd.)</t>
  </si>
  <si>
    <t>TABLE-XIII (Concld.)</t>
  </si>
  <si>
    <t>TABLE-XIV</t>
  </si>
  <si>
    <t xml:space="preserve">TABLE-XVII (Contd.) </t>
  </si>
  <si>
    <t xml:space="preserve">TABLE-XVII (Concld.) </t>
  </si>
  <si>
    <t>TABLE-XIX</t>
  </si>
  <si>
    <t>TABLE-XX (Contd.)</t>
  </si>
  <si>
    <t>TABLE-XX (Concld.)</t>
  </si>
  <si>
    <t>TABLE-XXI (Contd.)</t>
  </si>
  <si>
    <t>TABLE-XXI (Concld.)</t>
  </si>
  <si>
    <t>TABLE-XXII</t>
  </si>
  <si>
    <t xml:space="preserve">Period /Cluster of Banks </t>
  </si>
  <si>
    <t>Cheque Clearing</t>
  </si>
  <si>
    <t>Electronic Fund Transfers (Outward)</t>
  </si>
  <si>
    <t>Cards Transactions</t>
  </si>
  <si>
    <t>Mobile Banking</t>
  </si>
  <si>
    <t>Agent Banking</t>
  </si>
  <si>
    <t>Credit Cards</t>
  </si>
  <si>
    <t>Debit Cards</t>
  </si>
  <si>
    <t>Prepaid Cards Transactions</t>
  </si>
  <si>
    <t xml:space="preserve">Internationally Issued Cards Transactions                   </t>
  </si>
  <si>
    <t>Internationally Issued Cards Transactions</t>
  </si>
  <si>
    <t>MICR Clearing</t>
  </si>
  <si>
    <t>Non-MICR Clearing</t>
  </si>
  <si>
    <t>Usage at POS</t>
  </si>
  <si>
    <t>E-commerce</t>
  </si>
  <si>
    <t>Outstanding Credit (as on)</t>
  </si>
  <si>
    <t xml:space="preserve">    E-Commerce          </t>
  </si>
  <si>
    <t>Prepaid Cards</t>
  </si>
  <si>
    <t>No. of Internet Banking Customers (as on)</t>
  </si>
  <si>
    <t>Internet Banking Transactions</t>
  </si>
  <si>
    <t>No. of Mobile Banking Agents (as on)</t>
  </si>
  <si>
    <t>Mobile Banking Transactions</t>
  </si>
  <si>
    <t>No. of Mobile Banking Subscribers (as on)</t>
  </si>
  <si>
    <t>No. of Agents (as on)</t>
  </si>
  <si>
    <t>Agent Banking Transactions</t>
  </si>
  <si>
    <t>No. of Agent Banking Subscribers (as on)</t>
  </si>
  <si>
    <t>Local Transactions (Issuing)</t>
  </si>
  <si>
    <t>Abroad Transactions (Issuing)</t>
  </si>
  <si>
    <t>POS Transactions (Acquiring)</t>
  </si>
  <si>
    <t>E-Commerce Transactions (Acquiring)</t>
  </si>
  <si>
    <t>No. of Transactions</t>
  </si>
  <si>
    <t>Number</t>
  </si>
  <si>
    <t>3=1+2</t>
  </si>
  <si>
    <t>11=5+6+7+8+9+10</t>
  </si>
  <si>
    <t>19=13+14+15+16+17+18</t>
  </si>
  <si>
    <t>25=22+23+24</t>
  </si>
  <si>
    <t>26=11+19+20+21+25</t>
  </si>
  <si>
    <t xml:space="preserve">              E-BANKING &amp;  E-COMMERCE STATISTICS                   </t>
  </si>
  <si>
    <t xml:space="preserve">Note: </t>
  </si>
  <si>
    <t>PCBs</t>
  </si>
  <si>
    <t>Internet   Banking</t>
  </si>
  <si>
    <t>No. of POS (in actual) (as on)</t>
  </si>
  <si>
    <t>No. of ATMs (in actual) (as on)</t>
  </si>
  <si>
    <t>Exports (fob)</t>
  </si>
  <si>
    <t>Tk/US Dollar</t>
  </si>
  <si>
    <t xml:space="preserve">Million US $ </t>
  </si>
  <si>
    <t>UK Pound Sterling</t>
  </si>
  <si>
    <t>FCBs</t>
  </si>
  <si>
    <t>22.04.15</t>
  </si>
  <si>
    <t>22.04.25</t>
  </si>
  <si>
    <t xml:space="preserve">With effect from 01.07.12  </t>
  </si>
  <si>
    <t>11.28*</t>
  </si>
  <si>
    <t>11.04**</t>
  </si>
  <si>
    <t>11.28***</t>
  </si>
  <si>
    <t>11.76***</t>
  </si>
  <si>
    <t>11.52****</t>
  </si>
  <si>
    <t>774136</t>
  </si>
  <si>
    <t>12.07</t>
  </si>
  <si>
    <t>6.06</t>
  </si>
  <si>
    <t>15.79</t>
  </si>
  <si>
    <t>2005-06*</t>
  </si>
  <si>
    <t>482337</t>
  </si>
  <si>
    <t>516383</t>
  </si>
  <si>
    <t>547437</t>
  </si>
  <si>
    <t>575056</t>
  </si>
  <si>
    <t>607097</t>
  </si>
  <si>
    <t>509545</t>
  </si>
  <si>
    <t>549505</t>
  </si>
  <si>
    <t>589547</t>
  </si>
  <si>
    <t>620614</t>
  </si>
  <si>
    <t>656241</t>
  </si>
  <si>
    <t>13.99</t>
  </si>
  <si>
    <t>14.35</t>
  </si>
  <si>
    <t>12.15</t>
  </si>
  <si>
    <t>13.11</t>
  </si>
  <si>
    <t>6.67</t>
  </si>
  <si>
    <t>7.06</t>
  </si>
  <si>
    <t>5.05</t>
  </si>
  <si>
    <t>5.57</t>
  </si>
  <si>
    <t>13.98</t>
  </si>
  <si>
    <t>14.18</t>
  </si>
  <si>
    <t>14.38</t>
  </si>
  <si>
    <t>14.58</t>
  </si>
  <si>
    <t>14.78</t>
  </si>
  <si>
    <t>36448</t>
  </si>
  <si>
    <t>34502</t>
  </si>
  <si>
    <t>36416</t>
  </si>
  <si>
    <t>41000</t>
  </si>
  <si>
    <t>42569</t>
  </si>
  <si>
    <t>44403</t>
  </si>
  <si>
    <t>38753</t>
  </si>
  <si>
    <t>38069</t>
  </si>
  <si>
    <t>39441</t>
  </si>
  <si>
    <t>41076</t>
  </si>
  <si>
    <t>30=27+28+29</t>
  </si>
  <si>
    <t xml:space="preserve">Number </t>
  </si>
  <si>
    <t>Number of Cards (net) (as on)</t>
  </si>
  <si>
    <t>2015-16</t>
  </si>
  <si>
    <t>12.08.20</t>
  </si>
  <si>
    <t>29.07.15</t>
  </si>
  <si>
    <t>29.07.35</t>
  </si>
  <si>
    <t>09.09.20</t>
  </si>
  <si>
    <t>23.09.15</t>
  </si>
  <si>
    <t>23.09.30</t>
  </si>
  <si>
    <t xml:space="preserve"> Spread   (66-65)</t>
  </si>
  <si>
    <t xml:space="preserve"> Spread   (69-68)</t>
  </si>
  <si>
    <t xml:space="preserve">... = Not Available </t>
  </si>
  <si>
    <r>
      <t>Total Expenditure</t>
    </r>
    <r>
      <rPr>
        <sz val="8"/>
        <color indexed="8"/>
        <rFont val="Times New Roman"/>
        <family val="1"/>
      </rPr>
      <t>***</t>
    </r>
  </si>
  <si>
    <t>09.12.20</t>
  </si>
  <si>
    <t>25.11.15</t>
  </si>
  <si>
    <t>25.11.35</t>
  </si>
  <si>
    <t>Jan-Mar</t>
  </si>
  <si>
    <t>Apr-Jun</t>
  </si>
  <si>
    <t>Jul-Sep</t>
  </si>
  <si>
    <t xml:space="preserve">    </t>
  </si>
  <si>
    <t>20.01.16</t>
  </si>
  <si>
    <t>20.01.26</t>
  </si>
  <si>
    <t>31.1034768 gms.</t>
  </si>
  <si>
    <t xml:space="preserve">… = Not available  </t>
  </si>
  <si>
    <t>Local        Authorities</t>
  </si>
  <si>
    <t>824862</t>
  </si>
  <si>
    <t>878410</t>
  </si>
  <si>
    <t>12.81</t>
  </si>
  <si>
    <t>6.55</t>
  </si>
  <si>
    <t>53013</t>
  </si>
  <si>
    <t>11.11.20</t>
  </si>
  <si>
    <t>13.01.21</t>
  </si>
  <si>
    <t>10.02.21</t>
  </si>
  <si>
    <t xml:space="preserve">   Milk &amp;      Dairy  Products</t>
  </si>
  <si>
    <t>27.04.16</t>
  </si>
  <si>
    <t>27.04.36</t>
  </si>
  <si>
    <t>6.00-9.00</t>
  </si>
  <si>
    <t>25.05.31</t>
  </si>
  <si>
    <t>2016-17</t>
  </si>
  <si>
    <t>Note: From period 2015 BDBL &amp; BASIC banks are treated as State Owned Banks</t>
  </si>
  <si>
    <t>13.07.16</t>
  </si>
  <si>
    <t>20.07.16</t>
  </si>
  <si>
    <t>20.07.26</t>
  </si>
  <si>
    <t>29.06.31</t>
  </si>
  <si>
    <t>27.07.31</t>
  </si>
  <si>
    <t>25.05.11</t>
  </si>
  <si>
    <t>29.06.11</t>
  </si>
  <si>
    <t>27.07.11</t>
  </si>
  <si>
    <t>24.08.31</t>
  </si>
  <si>
    <t>Rate of interest of NBFIs (Weighted Average)</t>
  </si>
  <si>
    <t xml:space="preserve">2016-17 </t>
  </si>
  <si>
    <t xml:space="preserve">July </t>
  </si>
  <si>
    <t>COMPANY /SECTOR                                                                                                                                             GROUPS</t>
  </si>
  <si>
    <t xml:space="preserve">Figures relating to Islamic Investment Bond are re-classified as claims on other public sector instead of other assets  </t>
  </si>
  <si>
    <t xml:space="preserve"> By NBDCs       In Taka A/C</t>
  </si>
  <si>
    <t>28.09.31</t>
  </si>
  <si>
    <t>26.10.11</t>
  </si>
  <si>
    <t>24.08.11</t>
  </si>
  <si>
    <t>28.09.11</t>
  </si>
  <si>
    <t>*= New base year 2005-06</t>
  </si>
  <si>
    <t>26.10.31</t>
  </si>
  <si>
    <t>28.12.11</t>
  </si>
  <si>
    <t>14.12.16</t>
  </si>
  <si>
    <t>55631</t>
  </si>
  <si>
    <t>United States (Kansas City)</t>
  </si>
  <si>
    <t>Palm Oil                         (US $/MT)</t>
  </si>
  <si>
    <t>Wheat                                                   (US $/MT)</t>
  </si>
  <si>
    <t>11.01.17</t>
  </si>
  <si>
    <t>21.12.16</t>
  </si>
  <si>
    <t>28.12.31</t>
  </si>
  <si>
    <t>Import Payments</t>
  </si>
  <si>
    <t>18.01.17</t>
  </si>
  <si>
    <t>25.01.32</t>
  </si>
  <si>
    <t>Government Notes &amp; Coins</t>
  </si>
  <si>
    <t>=100 &amp; new base 2005-06=100)</t>
  </si>
  <si>
    <t>from October 2004 to December 2015 and again reclassified as claims on Govt. from January 2016 &amp; onwards</t>
  </si>
  <si>
    <t>3. Export data are shipment based &amp; Import data are on C&amp;F/CIF basis upto June 2014 and fob basis from July 2014 &amp; onwards</t>
  </si>
  <si>
    <t>Statistics Department,  Bangladesh Bank  </t>
  </si>
  <si>
    <t>Statistics Department , Bangladesh Bank  </t>
  </si>
  <si>
    <t>Statistics Department, Bangladesh Bank  </t>
  </si>
  <si>
    <t>Statistics Department, Bangladesh Bank</t>
  </si>
  <si>
    <r>
      <t xml:space="preserve">Source : </t>
    </r>
    <r>
      <rPr>
        <sz val="7"/>
        <rFont val="Times New Roman"/>
        <family val="1"/>
      </rPr>
      <t xml:space="preserve"> Statistics Department, Bangladesh Bank</t>
    </r>
  </si>
  <si>
    <t xml:space="preserve">     Source: Statistics Department, Bangladesh Bank</t>
  </si>
  <si>
    <t xml:space="preserve">Source: Statistics Department, Bangladesh Bank   </t>
  </si>
  <si>
    <t xml:space="preserve">Statistics Department,   Bangladesh Bank      </t>
  </si>
  <si>
    <r>
      <rPr>
        <b/>
        <sz val="8"/>
        <rFont val="Times New Roman"/>
        <family val="1"/>
      </rPr>
      <t>Source  :</t>
    </r>
    <r>
      <rPr>
        <sz val="8"/>
        <rFont val="Times New Roman"/>
        <family val="1"/>
      </rPr>
      <t xml:space="preserve">  Bangladesh Bureau of Statistics</t>
    </r>
  </si>
  <si>
    <r>
      <rPr>
        <b/>
        <sz val="8"/>
        <color indexed="8"/>
        <rFont val="Times New Roman"/>
        <family val="1"/>
      </rPr>
      <t xml:space="preserve">Source : </t>
    </r>
    <r>
      <rPr>
        <sz val="8"/>
        <color indexed="8"/>
        <rFont val="Times New Roman"/>
        <family val="1"/>
      </rPr>
      <t xml:space="preserve"> Bangladesh Bureau of Statistics</t>
    </r>
  </si>
  <si>
    <t>Bangladesh Bureau of Statistics</t>
  </si>
  <si>
    <t xml:space="preserve"> *= New base Year 2005-06</t>
  </si>
  <si>
    <r>
      <t>Source</t>
    </r>
    <r>
      <rPr>
        <sz val="8"/>
        <rFont val="Times New Roman"/>
        <family val="1"/>
      </rPr>
      <t xml:space="preserve"> : Bangladesh Bureau of Statistics</t>
    </r>
  </si>
  <si>
    <t xml:space="preserve">   *= New base year 2005-06</t>
  </si>
  <si>
    <t xml:space="preserve">Source  :  Banking Regulation &amp; Policy Department, Bangladesh Bank                                                                                                                                  </t>
  </si>
  <si>
    <r>
      <t>Source :</t>
    </r>
    <r>
      <rPr>
        <sz val="7"/>
        <color indexed="8"/>
        <rFont val="Times New Roman"/>
        <family val="1"/>
      </rPr>
      <t xml:space="preserve"> Statistics Department, Bangladesh Bank</t>
    </r>
  </si>
  <si>
    <t>Debt Management Department, Bangladesh Bank</t>
  </si>
  <si>
    <t>Source: Statistics Department, Bangladesh Bank</t>
  </si>
  <si>
    <t>Statistics Deparement, Bangladesh Bank</t>
  </si>
  <si>
    <t>International Financial Statistics</t>
  </si>
  <si>
    <t>NSD</t>
  </si>
  <si>
    <t>1. Bangladesh Jute Association</t>
  </si>
  <si>
    <t>              3. Bangladesh Bureau of Statistics</t>
  </si>
  <si>
    <t>              4. Bangladesh Tea Board</t>
  </si>
  <si>
    <t>27.08.28</t>
  </si>
  <si>
    <t>Pharmaceu-ticals &amp; Chemicals</t>
  </si>
  <si>
    <t>Fuel &amp; Power</t>
  </si>
  <si>
    <t>Food &amp; Allied Products</t>
  </si>
  <si>
    <t>Paper &amp; Printing</t>
  </si>
  <si>
    <t>Services &amp; Real Estate</t>
  </si>
  <si>
    <t>Import &amp; Inland Bills Purchased and Discounted</t>
  </si>
  <si>
    <t>Forex Reserves &amp; Exchange Rate)</t>
  </si>
  <si>
    <t xml:space="preserve">Selected Economic Indicators ( Inflation, Production Index, Foreign Trade, Forex Reserves &amp; Exchange Rate) </t>
  </si>
  <si>
    <t>Reserve Money &amp; its Components</t>
  </si>
  <si>
    <t>Reserve Money &amp; its Sources</t>
  </si>
  <si>
    <t>RESERVE MONEY &amp; ITS COMPONENTS</t>
  </si>
  <si>
    <t>RESERVE MONEY &amp; ITS SOURCES</t>
  </si>
  <si>
    <t xml:space="preserve">Net Errors &amp; Ommissions                                    </t>
  </si>
  <si>
    <t>FOREIGN DIRECT INVESTMENT (FDI) INFLOWS &amp; STOCKS BY COMPONENTS IN BANGLADESH</t>
  </si>
  <si>
    <t>Foreign Direct Investment (FDI) Inflows &amp; Stocks by Components in Bangladesh</t>
  </si>
  <si>
    <t>Naptha, Furnace oil &amp; Bitumen</t>
  </si>
  <si>
    <t xml:space="preserve">Plastic &amp; Rubber arti-cles thereof </t>
  </si>
  <si>
    <t>Textile &amp; articles thereof</t>
  </si>
  <si>
    <t>Iron &amp; Steel</t>
  </si>
  <si>
    <t>Consumer Price Index &amp; Inflation Rate in Bangladesh</t>
  </si>
  <si>
    <t xml:space="preserve">CONSUMER PRICE INDEX &amp; </t>
  </si>
  <si>
    <t>Medical care &amp; Health Expenses</t>
  </si>
  <si>
    <t>Hides &amp; Skins (wholesale)</t>
  </si>
  <si>
    <t>Mining &amp; Quarry-ing</t>
  </si>
  <si>
    <t>Whole-sale      &amp; Retail Trade</t>
  </si>
  <si>
    <t>Hotel &amp; Restau-rants</t>
  </si>
  <si>
    <t>Transport, Storage &amp; Commu-nication</t>
  </si>
  <si>
    <t>Real Estate, Renting &amp; Business Activities</t>
  </si>
  <si>
    <t>Public Adminis-tration     &amp; Defence</t>
  </si>
  <si>
    <t>Health &amp;      Social Works</t>
  </si>
  <si>
    <t>Commu-nity, Social &amp; Personal Services</t>
  </si>
  <si>
    <t>Agricul-ture &amp; Forestry</t>
  </si>
  <si>
    <t>Whole-sale     &amp; Retail Trade</t>
  </si>
  <si>
    <t xml:space="preserve">INDEX NUMBER OF ORDINARY SHARE PRICES, TURN OVER, ISSUED CAPITAL &amp; </t>
  </si>
  <si>
    <t>Index Number of  Ordinary Share Prices, Turn Over, Issued Capital &amp; Total Number of Companies Listed with the Dhaka Stock Exchange Ltd.</t>
  </si>
  <si>
    <t>Bank Rate &amp; Interest Rate Structure of Post Office Savings Bank, House Building Finance Corporation &amp; National Savings Certificates</t>
  </si>
  <si>
    <t>100.00 crore &amp; above</t>
  </si>
  <si>
    <t>1)   Bureau of Manpower, Employment &amp; Training</t>
  </si>
  <si>
    <t>From July'14 Myanmar Kyat has been changed due to floating exchange rate</t>
  </si>
  <si>
    <t>UK  Pound   Sterling</t>
  </si>
  <si>
    <t>UAE  Derham</t>
  </si>
  <si>
    <t>OF THE GOVERNMENT UNDER NBR &amp; OTHERS</t>
  </si>
  <si>
    <t>Selected Tax Revenue Receipts of the Government Under NBR &amp; Others</t>
  </si>
  <si>
    <t>Number of Persons Left for Abroad on Employment &amp; Total Workers’ Remittances</t>
  </si>
  <si>
    <t>NUMBER OF PERSONS LEFT FOR ABROAD ON EMPLOYMENT  &amp;  TOTAL WORKERS'  REMITTANCES</t>
  </si>
  <si>
    <t>Selected Economic Indicators (Money &amp; Banking)</t>
  </si>
  <si>
    <t xml:space="preserve">(Money &amp; </t>
  </si>
  <si>
    <t>(Money &amp;</t>
  </si>
  <si>
    <t xml:space="preserve">            (Money &amp;</t>
  </si>
  <si>
    <t>Appendix : Weights &amp; Measures</t>
  </si>
  <si>
    <t>Weights &amp; Measures</t>
  </si>
  <si>
    <t>Note : F &amp; C indicate Fahrenheit &amp; Celsius Scale Respectively</t>
  </si>
  <si>
    <t>Statistics Department, Bangladesh Bank and EPB</t>
  </si>
  <si>
    <t>1. Upto June'12 data was complied on the basis of IMFs' BPM5 &amp; From July'12, BPM6 has been implemented</t>
  </si>
  <si>
    <t>2)  Upto May, 2016 Foreign Exchange Policy Department &amp; From June, 2016 Statistics Department, Bangladesh Bank</t>
  </si>
  <si>
    <t>Suggestions/Comments for improvement in the contents of this booklet would  highly be appreciated. Users may kindly contact the following email addresses with their suggestions/comments and queries, if any:</t>
  </si>
  <si>
    <t xml:space="preserve">Head Office, Dhaka    </t>
  </si>
  <si>
    <t>Market price (f.o.b.) of Raw Jute of Narayangonj</t>
  </si>
  <si>
    <t>iii)  9 percent of savings deposits are included in Demand Deposits with effect from July 2007</t>
  </si>
  <si>
    <t>Oct-Dec</t>
  </si>
  <si>
    <t xml:space="preserve">1. Total number of Clearing House Centres are 39 of which 8 are managed by the Bangladesh Bank &amp; the rest by the Sonali Bank Ltd </t>
  </si>
  <si>
    <t xml:space="preserve">Scheduled banks' branches exclude branches outside Bangladesh        </t>
  </si>
  <si>
    <t xml:space="preserve">2. Due to inclusion of Table IIG (column 3) figure of column 56 &amp; 57  have been dropped from July 2014 </t>
  </si>
  <si>
    <t xml:space="preserve"> rates from July 2009 &amp; onwards</t>
  </si>
  <si>
    <t>Rate of inflation (Base: 1995-96) data discontinued from August 2013 due to dropping of BBS data</t>
  </si>
  <si>
    <t>Wholesale Price Indices data discontinued from 2006-07 due to dropping of BBS data</t>
  </si>
  <si>
    <t>2. 12- month average changes in CPI indicate the average change of the last  12- month over the corresponding previous 12- month</t>
  </si>
  <si>
    <t>1. Point- to- point changes in CPI indicate the changes over the corresponding month of the previous year</t>
  </si>
  <si>
    <t>2. Weighted average exchange rate represents the inter-bank exchange rate</t>
  </si>
  <si>
    <t>1. Export Promotion Bureau (EPB) for export data    2. Statistics Department, Bangladesh Bank for import data</t>
  </si>
  <si>
    <t xml:space="preserve">      deposits held in the banking system (BB &amp; DMBs)</t>
  </si>
  <si>
    <t xml:space="preserve">NBDC  =  Non-Bank Depository Corporation </t>
  </si>
  <si>
    <t xml:space="preserve">NSD =  National Savings Directorate                                                                                                                                                                           </t>
  </si>
  <si>
    <t>Export data are on fob basis</t>
  </si>
  <si>
    <t>Figures within the parentheses indicate the percentage of sectoral share to total GDP at current market price</t>
  </si>
  <si>
    <t>Figures within the parentheses indicate the percentage of sectoral share to total GDP at constant market price</t>
  </si>
  <si>
    <r>
      <t>Note</t>
    </r>
    <r>
      <rPr>
        <sz val="8"/>
        <rFont val="Times New Roman"/>
        <family val="1"/>
      </rPr>
      <t xml:space="preserve">     : Figures within parentheses represent million US dollar</t>
    </r>
  </si>
  <si>
    <t>Dhaka Stock Exchange Ltd (DSE)</t>
  </si>
  <si>
    <t>***Total expenditure includes foreign currency revaluation (loss)                        …= Not applicable/available</t>
  </si>
  <si>
    <t>Six decimal places is used for conversion of US$ to Tk</t>
  </si>
  <si>
    <t>Upto May, 2016 Foreign Exchange Policy Department &amp; From June, 2016 Statistics Department, Bangladesh Bank</t>
  </si>
  <si>
    <r>
      <t>Source:</t>
    </r>
    <r>
      <rPr>
        <sz val="8"/>
        <color indexed="8"/>
        <rFont val="Times New Roman"/>
        <family val="1"/>
      </rPr>
      <t xml:space="preserve"> National Board of Revenue and Bangladesh Bureau of Statistics</t>
    </r>
  </si>
  <si>
    <t xml:space="preserve">             ... = Not available                    P = Provisional   </t>
  </si>
  <si>
    <t>Oct- Dec</t>
  </si>
  <si>
    <t>Jan- Mar</t>
  </si>
  <si>
    <t>Apr- Jun</t>
  </si>
  <si>
    <t>Jul- Sep</t>
  </si>
  <si>
    <t xml:space="preserve">Al-Arafah  Islami Bank </t>
  </si>
  <si>
    <t>Bangladesh Bank (BB) Notes</t>
  </si>
  <si>
    <t xml:space="preserve">NBDC=Non-Bank Depository Corporation                             </t>
  </si>
  <si>
    <t>(+) indicates appreciation while (-) indicates depreciation</t>
  </si>
  <si>
    <t>Banks have been subdivided into banks and financial institutions &amp; Investment has been renamed as mutual fund from January'10</t>
  </si>
  <si>
    <r>
      <t xml:space="preserve">Note     :      </t>
    </r>
    <r>
      <rPr>
        <sz val="7"/>
        <rFont val="Times New Roman"/>
        <family val="1"/>
      </rPr>
      <t xml:space="preserve">Miscellaneous includes IT-Sector, Tannery, Ceramic, Travel &amp; Corporate bond </t>
    </r>
  </si>
  <si>
    <t>P=Provisional</t>
  </si>
  <si>
    <t>12.07.17</t>
  </si>
  <si>
    <t>19.07.17</t>
  </si>
  <si>
    <t>2017-18</t>
  </si>
  <si>
    <t>4.00-9.00</t>
  </si>
  <si>
    <t>BKB</t>
  </si>
  <si>
    <t>7.00-9.00</t>
  </si>
  <si>
    <t>7.50-9.00</t>
  </si>
  <si>
    <t>8.00-9.00</t>
  </si>
  <si>
    <r>
      <t>Balances with BB</t>
    </r>
    <r>
      <rPr>
        <b/>
        <vertAlign val="superscript"/>
        <sz val="10"/>
        <rFont val="Times New Roman"/>
        <family val="1"/>
      </rPr>
      <t>1</t>
    </r>
  </si>
  <si>
    <t xml:space="preserve"> currency held in BB &amp; counter entry for government currency    3. Amount in Government over-draft A/C.  is included in loans &amp; advances by Bangladesh Bank </t>
  </si>
  <si>
    <t>1.  Balance with BB excludes FC clearing A/C</t>
  </si>
  <si>
    <r>
      <t>Total Credit to Govt.</t>
    </r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(45+46+ 47+48)</t>
    </r>
  </si>
  <si>
    <r>
      <t xml:space="preserve">Loans &amp; Advances </t>
    </r>
    <r>
      <rPr>
        <vertAlign val="superscript"/>
        <sz val="8"/>
        <rFont val="Times New Roman"/>
        <family val="1"/>
      </rPr>
      <t>3</t>
    </r>
  </si>
  <si>
    <r>
      <t>Excess Reserve</t>
    </r>
    <r>
      <rPr>
        <vertAlign val="superscript"/>
        <sz val="9"/>
        <rFont val="Times New Roman"/>
        <family val="1"/>
      </rPr>
      <t>4</t>
    </r>
    <r>
      <rPr>
        <sz val="9"/>
        <rFont val="Times New Roman"/>
        <family val="1"/>
      </rPr>
      <t xml:space="preserve">  (42-40)</t>
    </r>
  </si>
  <si>
    <r>
      <t>Total</t>
    </r>
    <r>
      <rPr>
        <vertAlign val="superscript"/>
        <sz val="9"/>
        <rFont val="Times New Roman"/>
        <family val="1"/>
      </rPr>
      <t>1</t>
    </r>
    <r>
      <rPr>
        <sz val="9"/>
        <rFont val="Times New Roman"/>
        <family val="1"/>
      </rPr>
      <t xml:space="preserve">       (4+5)</t>
    </r>
  </si>
  <si>
    <t>1.Total credit to government (net) by the banking system equals to total claims on government (gross) excluding government</t>
  </si>
  <si>
    <r>
      <t>Government (Net)</t>
    </r>
    <r>
      <rPr>
        <b/>
        <vertAlign val="superscript"/>
        <sz val="9"/>
        <color indexed="8"/>
        <rFont val="Times New Roman"/>
        <family val="1"/>
      </rPr>
      <t>1</t>
    </r>
  </si>
  <si>
    <r>
      <t>General Index/ DSE Broad Index</t>
    </r>
    <r>
      <rPr>
        <vertAlign val="superscript"/>
        <sz val="9"/>
        <rFont val="Times New Roman"/>
        <family val="1"/>
      </rPr>
      <t>1</t>
    </r>
  </si>
  <si>
    <t xml:space="preserve">    Total Issued          Capital  (Tk in crore)</t>
  </si>
  <si>
    <t xml:space="preserve">      Turn Over            (Tk in crore)                                        </t>
  </si>
  <si>
    <t>Total No. of Companies</t>
  </si>
  <si>
    <t xml:space="preserve"> Total No. of Companies</t>
  </si>
  <si>
    <t>LISTED WITH THE DHAKA STOCK EXCHANGE LTD</t>
  </si>
  <si>
    <t>UAE</t>
  </si>
  <si>
    <t>UK</t>
  </si>
  <si>
    <t>USA</t>
  </si>
  <si>
    <t>Narrow         Money         (M1) (5+8+12)</t>
  </si>
  <si>
    <t>Total    Liqui-      dity     (M2) </t>
  </si>
  <si>
    <t>SURVEY ( M2)</t>
  </si>
  <si>
    <t xml:space="preserve"> Broad          Money        (M2)      (3+13)</t>
  </si>
  <si>
    <t>SURVEY ( M3)</t>
  </si>
  <si>
    <t>Broad         Money         (M3)     (4+17)</t>
  </si>
  <si>
    <r>
      <t>1. Claims on Govt.(net) reported by the banking sector in M2</t>
    </r>
    <r>
      <rPr>
        <vertAlign val="subscript"/>
        <sz val="7"/>
        <rFont val="Times New Roman"/>
        <family val="1"/>
      </rPr>
      <t xml:space="preserve"> </t>
    </r>
    <r>
      <rPr>
        <sz val="7"/>
        <rFont val="Times New Roman"/>
        <family val="1"/>
      </rPr>
      <t>differs with M3</t>
    </r>
    <r>
      <rPr>
        <vertAlign val="subscript"/>
        <sz val="7"/>
        <rFont val="Times New Roman"/>
        <family val="1"/>
      </rPr>
      <t xml:space="preserve"> </t>
    </r>
    <r>
      <rPr>
        <sz val="7"/>
        <rFont val="Times New Roman"/>
        <family val="1"/>
      </rPr>
      <t xml:space="preserve">due to exclusion of </t>
    </r>
  </si>
  <si>
    <t>TOTAL NUMBER OF COMPANIES LISTED WITH THE DHAKA STOCK EXCHANGE LTD</t>
  </si>
  <si>
    <t>EURO</t>
  </si>
  <si>
    <r>
      <t xml:space="preserve">  3) 5 years Wage Earners Development Bond</t>
    </r>
    <r>
      <rPr>
        <b/>
        <vertAlign val="superscript"/>
        <sz val="9"/>
        <color indexed="8"/>
        <rFont val="Times New Roman"/>
        <family val="1"/>
      </rPr>
      <t xml:space="preserve"> 1</t>
    </r>
  </si>
  <si>
    <r>
      <t xml:space="preserve">  4) 3 years USD Premium Bond</t>
    </r>
    <r>
      <rPr>
        <b/>
        <vertAlign val="superscript"/>
        <sz val="8"/>
        <color indexed="8"/>
        <rFont val="Arial Narrow"/>
        <family val="2"/>
      </rPr>
      <t xml:space="preserve"> </t>
    </r>
    <r>
      <rPr>
        <b/>
        <sz val="8"/>
        <color indexed="8"/>
        <rFont val="Arial Narrow"/>
        <family val="2"/>
      </rPr>
      <t xml:space="preserve">for non-resident Bangladeshi </t>
    </r>
    <r>
      <rPr>
        <b/>
        <vertAlign val="superscript"/>
        <sz val="8"/>
        <color indexed="8"/>
        <rFont val="Arial Narrow"/>
        <family val="2"/>
      </rPr>
      <t>2</t>
    </r>
  </si>
  <si>
    <r>
      <t xml:space="preserve">  5) 3 years USD Investment Bond for non-resident Bangladeshi </t>
    </r>
    <r>
      <rPr>
        <b/>
        <vertAlign val="superscript"/>
        <sz val="8.5"/>
        <color indexed="8"/>
        <rFont val="Arial Narrow"/>
        <family val="2"/>
      </rPr>
      <t>3</t>
    </r>
  </si>
  <si>
    <t>2. Interest is payable in BDT &amp; principal amount will be paid either in  USD or BDT as per option of the bond holder</t>
  </si>
  <si>
    <t>Habib Bank</t>
  </si>
  <si>
    <t>26.09.32</t>
  </si>
  <si>
    <t>Source   :</t>
  </si>
  <si>
    <t>Source     :</t>
  </si>
  <si>
    <t>Note         :</t>
  </si>
  <si>
    <t>End of      Period</t>
  </si>
  <si>
    <t xml:space="preserve">…= Not available   </t>
  </si>
  <si>
    <t>Source      :</t>
  </si>
  <si>
    <r>
      <t xml:space="preserve">       </t>
    </r>
    <r>
      <rPr>
        <b/>
        <sz val="5.5"/>
        <rFont val="Times New Roman"/>
        <family val="1"/>
      </rPr>
      <t>Note      :</t>
    </r>
    <r>
      <rPr>
        <sz val="5.5"/>
        <rFont val="Times New Roman"/>
        <family val="1"/>
      </rPr>
      <t xml:space="preserve">  </t>
    </r>
  </si>
  <si>
    <r>
      <t xml:space="preserve">Note         </t>
    </r>
    <r>
      <rPr>
        <sz val="5.5"/>
        <rFont val="Times New Roman"/>
        <family val="1"/>
      </rPr>
      <t xml:space="preserve">: </t>
    </r>
  </si>
  <si>
    <r>
      <t>Note        :</t>
    </r>
    <r>
      <rPr>
        <sz val="6"/>
        <rFont val="Times New Roman"/>
        <family val="1"/>
      </rPr>
      <t xml:space="preserve">  </t>
    </r>
  </si>
  <si>
    <r>
      <t>Source     :</t>
    </r>
    <r>
      <rPr>
        <sz val="6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</si>
  <si>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  Note   :</t>
    </r>
    <r>
      <rPr>
        <sz val="6"/>
        <rFont val="Times New Roman"/>
        <family val="1"/>
      </rPr>
      <t xml:space="preserve">  </t>
    </r>
  </si>
  <si>
    <r>
      <t xml:space="preserve">             Source    :</t>
    </r>
    <r>
      <rPr>
        <sz val="6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</si>
  <si>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Note        :       </t>
  </si>
  <si>
    <t xml:space="preserve">ii) Claims on Resident Sector exclude BB &amp; ODCs    </t>
  </si>
  <si>
    <r>
      <t xml:space="preserve">Note           : </t>
    </r>
    <r>
      <rPr>
        <sz val="8"/>
        <rFont val="Times New Roman"/>
        <family val="1"/>
      </rPr>
      <t xml:space="preserve">     </t>
    </r>
  </si>
  <si>
    <t>1. *As per BPM6, Net Errors &amp; Ommissions= -(Current Account Balance+Capital Account (Net) - Financial Account (Net))</t>
  </si>
  <si>
    <t>2. As per BPM5, Net Errors &amp; Ommissions= -(Current Account Balance+Capital Account (Net) + Financial Account (Net))</t>
  </si>
  <si>
    <t xml:space="preserve">Note      :      </t>
  </si>
  <si>
    <t xml:space="preserve">i) Oil Products = Soya bean + Vegetable Oil (Dalda) </t>
  </si>
  <si>
    <t xml:space="preserve">ii) Fertilizer = Urea + Ammonium Sulphate + TSP + SSP + DAP </t>
  </si>
  <si>
    <t>iii) Chemicals = Caustic Soda + Liquid Chlorine + HCl + Bleaching Powder + DDT</t>
  </si>
  <si>
    <t>iv) Iron &amp; Steel = Steel Ingot + Billet 110/85 mm + Billet 50/85 mm + MS Plate (thin &amp; Heavy) + MS Rod &amp; Flat Bar</t>
  </si>
  <si>
    <t>v) Food Products = Atta, Maida &amp; Suji</t>
  </si>
  <si>
    <t>... = Not Available</t>
  </si>
  <si>
    <t xml:space="preserve">      Turn Over  (Tk in crore)                                        </t>
  </si>
  <si>
    <r>
      <t>Source</t>
    </r>
    <r>
      <rPr>
        <sz val="8"/>
        <rFont val="Times New Roman"/>
        <family val="1"/>
      </rPr>
      <t xml:space="preserve">    </t>
    </r>
    <r>
      <rPr>
        <b/>
        <sz val="8"/>
        <rFont val="Times New Roman"/>
        <family val="1"/>
      </rPr>
      <t xml:space="preserve">: </t>
    </r>
    <r>
      <rPr>
        <sz val="8"/>
        <rFont val="Times New Roman"/>
        <family val="1"/>
      </rPr>
      <t xml:space="preserve">           Dhaka Stock Exchange Ltd (DSE)</t>
    </r>
  </si>
  <si>
    <t>Note:                   1. DSE Broad Index has been introduced instead of General Index from August 2013</t>
  </si>
  <si>
    <t xml:space="preserve">Islami Bank BD </t>
  </si>
  <si>
    <t>ICB Islamic Bank</t>
  </si>
  <si>
    <t>Shahjalal  Islami Bank</t>
  </si>
  <si>
    <t>Union Bank</t>
  </si>
  <si>
    <t>Bank Alfalah</t>
  </si>
  <si>
    <t>EXIM Bank</t>
  </si>
  <si>
    <t xml:space="preserve">First Security Islami Bank </t>
  </si>
  <si>
    <t>MONTHLY AVERAGE CALL MONEY MARKET RATES (Weighted Average)</t>
  </si>
  <si>
    <r>
      <rPr>
        <b/>
        <sz val="6.5"/>
        <rFont val="Times New Roman"/>
        <family val="1"/>
      </rPr>
      <t xml:space="preserve">Note: </t>
    </r>
    <r>
      <rPr>
        <sz val="6.5"/>
        <rFont val="Times New Roman"/>
        <family val="1"/>
      </rPr>
      <t>Data is discontinued from June'2017 due to dropping of IFS data</t>
    </r>
  </si>
  <si>
    <t>Total       Investments at Current Market Price</t>
  </si>
  <si>
    <t>Total Population (in Crore)</t>
  </si>
  <si>
    <t>18.10.17</t>
  </si>
  <si>
    <t>18.10.27</t>
  </si>
  <si>
    <t>i) BBS: Cotton Yarn, Cotton Cloth, Cigarettes, Oil Products, Food Products &amp; Matches</t>
  </si>
  <si>
    <t>ii) BCIC: Paper, Newsprint, Fertilizers, Chemicals &amp; Glass sheet</t>
  </si>
  <si>
    <t>iii) BSFIC: Sugar</t>
  </si>
  <si>
    <t>iv) BSEC: Iron &amp; Steel</t>
  </si>
  <si>
    <t>i) The resident sector has been classified according to the IMF's Monetary &amp; Financial Statistics Manual (MFSM)</t>
  </si>
  <si>
    <t>i) The resident sector has been classified according to the IMF's Monetary &amp; Financial Statistics Manual  (MFSM)</t>
  </si>
  <si>
    <t>savings certificates &amp; prize bonds for avoiding double counting</t>
  </si>
  <si>
    <t>White Middle           (Kutcha bales)                (Tk per 100 kg) </t>
  </si>
  <si>
    <t>Bangla white A           (Pucca  bales)              (Tk per 182.25 kg)</t>
  </si>
  <si>
    <t>Aman Rice               (Medium)                     (Tk per kg)</t>
  </si>
  <si>
    <t>Gold (Guinea)        (Tk per 10 gms.) </t>
  </si>
  <si>
    <t>Export of Tea                 (Average Quality)                      (Tk per kg)</t>
  </si>
  <si>
    <t>Cow Hides Raw                     (Tk per piece)</t>
  </si>
  <si>
    <t>Goat Skins                           (Tk per piece)</t>
  </si>
  <si>
    <t>1. Both interest &amp; principal amount are payable in BDT</t>
  </si>
  <si>
    <t>3. Both interest &amp; principal amount are payable in USD</t>
  </si>
  <si>
    <t>* including 0.84 %  social security premium (SSP) &amp; will be payable on completion of 3 years</t>
  </si>
  <si>
    <t>** including 0.79 %  social security premium (SSP) &amp; will be payable on completion of 3 years</t>
  </si>
  <si>
    <t>*** including 0.99 %  social security premium (SSP) &amp; will be payable on completion of 5 years</t>
  </si>
  <si>
    <t>**** including 1.25 %  social security premium (SSP) &amp; will be payable on completion of 5 years</t>
  </si>
  <si>
    <t>***** including 0.80 %  social security premium (SSP) &amp; will be payable on completion of 5 years</t>
  </si>
  <si>
    <t xml:space="preserve">** From period 2012 the income, expenditure &amp; profitability of specialized banks (BDBL &amp; BASIC) are calculated on calendar year basis </t>
  </si>
  <si>
    <t>Claims on Other Sectors</t>
  </si>
  <si>
    <t>Loans</t>
  </si>
  <si>
    <t>Financial Derivatives</t>
  </si>
  <si>
    <t>Trade Credit &amp; advances</t>
  </si>
  <si>
    <t>Shares &amp; Other Equity</t>
  </si>
  <si>
    <t>Other items (net)</t>
  </si>
  <si>
    <t>Table-XXV</t>
  </si>
  <si>
    <t>Domestic Claims</t>
  </si>
  <si>
    <t>Net Claims on Central Govt.</t>
  </si>
  <si>
    <t>Claims on Other Sector</t>
  </si>
  <si>
    <t>Broad Money Liabilities</t>
  </si>
  <si>
    <t>Currency Outside Depository Corporations</t>
  </si>
  <si>
    <t>Other Deposits</t>
  </si>
  <si>
    <t>Other Items (net)</t>
  </si>
  <si>
    <t>Central Bank Survey</t>
  </si>
  <si>
    <t>Claims on Central Govt.(net)</t>
  </si>
  <si>
    <t>Monetary Base</t>
  </si>
  <si>
    <t>Total   (5+6+7+8)</t>
  </si>
  <si>
    <t>Total  (2+3)</t>
  </si>
  <si>
    <t>Total             (3-4)</t>
  </si>
  <si>
    <t>Total  (7+8+9+10)</t>
  </si>
  <si>
    <t>Liabilities to Central Govt.</t>
  </si>
  <si>
    <t>Claims on other Depository Corporations</t>
  </si>
  <si>
    <t>Claims on Central Govt.</t>
  </si>
  <si>
    <t>Trade Credit &amp; Advances</t>
  </si>
  <si>
    <t>27.12.17</t>
  </si>
  <si>
    <t>i)   5 tk is considered as Govt. Currency since June 2016 and  Demand &amp; Time Deposits under Columns 8 &amp; 9 exclude Restricted Deposits</t>
  </si>
  <si>
    <t>Note: Base :2005-06=100</t>
  </si>
  <si>
    <t>18.04.18</t>
  </si>
  <si>
    <t>25.04.18</t>
  </si>
  <si>
    <t>23.05.18</t>
  </si>
  <si>
    <t xml:space="preserve">4. IMF Reserve Position amount is included in Foreign Exchange Reserve from April ,2018 &amp; onward </t>
  </si>
  <si>
    <t xml:space="preserve">CENTRAL BANK </t>
  </si>
  <si>
    <t>SURVEY</t>
  </si>
  <si>
    <t>DEPOSITORY</t>
  </si>
  <si>
    <t>CORPORATIONS SURVEY</t>
  </si>
  <si>
    <t>Liabilities to other Depository Corporatio-ns</t>
  </si>
  <si>
    <t>20.06.18</t>
  </si>
  <si>
    <t>20.06.28</t>
  </si>
  <si>
    <t>Transfe-rable Deposits</t>
  </si>
  <si>
    <t>Securities Other than Shares, Included in Broad Money</t>
  </si>
  <si>
    <t>Deposits Excluded from Broad Money</t>
  </si>
  <si>
    <t>Securities Other than Shares, excluded from Broad Money</t>
  </si>
  <si>
    <t>Deposits included in Broad Money</t>
  </si>
  <si>
    <t>Deposits excluded from Broad Money</t>
  </si>
  <si>
    <t>Securities  Other than Shares, excluded from Broad Money</t>
  </si>
  <si>
    <r>
      <t>2018-19</t>
    </r>
    <r>
      <rPr>
        <b/>
        <vertAlign val="superscript"/>
        <sz val="8"/>
        <rFont val="Times New Roman"/>
        <family val="1"/>
      </rPr>
      <t>P</t>
    </r>
  </si>
  <si>
    <t>2018-19</t>
  </si>
  <si>
    <t>25.07.18</t>
  </si>
  <si>
    <t>3.00-3.50</t>
  </si>
  <si>
    <t>Important Economic Indicators of Bangladesh with SAARC Countries</t>
  </si>
  <si>
    <t>Import**</t>
  </si>
  <si>
    <t>Service inflows</t>
  </si>
  <si>
    <t>Service outflows</t>
  </si>
  <si>
    <t>Afganistan</t>
  </si>
  <si>
    <t>Bhutan</t>
  </si>
  <si>
    <t>India</t>
  </si>
  <si>
    <t>Maldives</t>
  </si>
  <si>
    <t>Nepal</t>
  </si>
  <si>
    <t>Pakistan</t>
  </si>
  <si>
    <t>Sri Lanka</t>
  </si>
  <si>
    <t>April-June</t>
  </si>
  <si>
    <t>P: Provisional</t>
  </si>
  <si>
    <t>* As per record of EPB (usually on fob basis)</t>
  </si>
  <si>
    <t>** Based on custom records calculated on c&amp;f basis</t>
  </si>
  <si>
    <t>1. Export Promotion Bureau (EPB) for Export Data   2. National Board of Revenue (NBR) for Import Data</t>
  </si>
  <si>
    <t xml:space="preserve">Wage Earners Remittance
</t>
  </si>
  <si>
    <t>Portfolio investment inflows</t>
  </si>
  <si>
    <t>Export (f.o.b)</t>
  </si>
  <si>
    <t>Import (f.o.b)</t>
  </si>
  <si>
    <t>Bank credit to commercial sector</t>
  </si>
  <si>
    <t>FDI</t>
  </si>
  <si>
    <t>Foreign Exchange Reserve</t>
  </si>
  <si>
    <t>Inflation</t>
  </si>
  <si>
    <t>Exchange Rate (CY/$)</t>
  </si>
  <si>
    <t xml:space="preserve">Afganistan </t>
  </si>
  <si>
    <t>Bangladesh</t>
  </si>
  <si>
    <t xml:space="preserve">Important Economic Indicators of SAARC Countries </t>
  </si>
  <si>
    <t>..</t>
  </si>
  <si>
    <t xml:space="preserve"> STATISTICAL TABLES</t>
  </si>
  <si>
    <t>26.09.18</t>
  </si>
  <si>
    <t>26.09.33</t>
  </si>
  <si>
    <t>Sonali
Bank</t>
  </si>
  <si>
    <t>Agrani
Bank</t>
  </si>
  <si>
    <t>Janata
Bank</t>
  </si>
  <si>
    <t>Rupali
Bank</t>
  </si>
  <si>
    <t>BASIC
Bank</t>
  </si>
  <si>
    <t>The City
Bank</t>
  </si>
  <si>
    <t>AB
Bank</t>
  </si>
  <si>
    <t>IFIC
Bank</t>
  </si>
  <si>
    <t>National
Bank</t>
  </si>
  <si>
    <t>Uttara
Bank</t>
  </si>
  <si>
    <t>Pubali
Bank</t>
  </si>
  <si>
    <t>Eastern
Bank</t>
  </si>
  <si>
    <t>Dhaka
Bank</t>
  </si>
  <si>
    <t>Southeast
Bank</t>
  </si>
  <si>
    <t>Prime
Bank</t>
  </si>
  <si>
    <t>Dutch-Bangla
Bank</t>
  </si>
  <si>
    <t>Modhumoti
Bank</t>
  </si>
  <si>
    <t>SBAC
Bank</t>
  </si>
  <si>
    <t>Mercantile
Bank</t>
  </si>
  <si>
    <t>One
Bank</t>
  </si>
  <si>
    <t>Premier
Bank</t>
  </si>
  <si>
    <t>Trust
Bank</t>
  </si>
  <si>
    <t>BRAC
Bank</t>
  </si>
  <si>
    <t>Meghna
Bank</t>
  </si>
  <si>
    <t>Midland
Bank</t>
  </si>
  <si>
    <t>NRB
Bank</t>
  </si>
  <si>
    <t>NRB Comm.
Bank</t>
  </si>
  <si>
    <t>Mutual
Trust Bank</t>
  </si>
  <si>
    <t>Jamuna
Bank</t>
  </si>
  <si>
    <t>Shimanto
Bank</t>
  </si>
  <si>
    <t>Commercail Bank
of Ceylon</t>
  </si>
  <si>
    <t>Standard
Chartered Bank</t>
  </si>
  <si>
    <t>State Bank
of India</t>
  </si>
  <si>
    <t>National Bank
of Pakistan</t>
  </si>
  <si>
    <t>Citi Bank NA</t>
  </si>
  <si>
    <t>3.50</t>
  </si>
  <si>
    <t>4.00</t>
  </si>
  <si>
    <t>3.00</t>
  </si>
  <si>
    <t>2.50</t>
  </si>
  <si>
    <t>3.75</t>
  </si>
  <si>
    <t>2.00</t>
  </si>
  <si>
    <t>1.00</t>
  </si>
  <si>
    <t>0.10</t>
  </si>
  <si>
    <t>5.50</t>
  </si>
  <si>
    <t>6.00</t>
  </si>
  <si>
    <t>5.75</t>
  </si>
  <si>
    <t>4.00-4.50</t>
  </si>
  <si>
    <t>5.85</t>
  </si>
  <si>
    <t>7.00</t>
  </si>
  <si>
    <t>9.00</t>
  </si>
  <si>
    <t xml:space="preserve">Source  :  Banking Regulation &amp; Policy Department, Bangladesh Bank                                                                                                                                 </t>
  </si>
  <si>
    <t>Email: nurul.islam130@bb.org.bd</t>
  </si>
  <si>
    <t xml:space="preserve">Joint Director            </t>
  </si>
  <si>
    <t xml:space="preserve">Head Office, Dhaka          </t>
  </si>
  <si>
    <t>22.11.18</t>
  </si>
  <si>
    <t>22.11.28</t>
  </si>
  <si>
    <t>28.11.18</t>
  </si>
  <si>
    <t>28.11.33</t>
  </si>
  <si>
    <t>28.11.38</t>
  </si>
  <si>
    <t>5.75-7.00</t>
  </si>
  <si>
    <t xml:space="preserve">Import data are on C&amp;F/CIF basis upto June 2014 and fob basis from July 2014 &amp; onwards                                                                                                       </t>
  </si>
  <si>
    <r>
      <t xml:space="preserve">Hong Kong:    </t>
    </r>
    <r>
      <rPr>
        <sz val="8"/>
        <rFont val="Times New Roman"/>
        <family val="1"/>
      </rPr>
      <t>SAR of China</t>
    </r>
  </si>
  <si>
    <t>13.03.19</t>
  </si>
  <si>
    <t>13.03.24</t>
  </si>
  <si>
    <t>20.03.19</t>
  </si>
  <si>
    <t>17.04.19</t>
  </si>
  <si>
    <t>17.04.29</t>
  </si>
  <si>
    <t>27.03.19</t>
  </si>
  <si>
    <t>Padma
Bank</t>
  </si>
  <si>
    <t>12.06.19</t>
  </si>
  <si>
    <t>12.06.24</t>
  </si>
  <si>
    <t>29.05.19</t>
  </si>
  <si>
    <t>10.07.19</t>
  </si>
  <si>
    <t>10.07.24</t>
  </si>
  <si>
    <t>19.06.19</t>
  </si>
  <si>
    <t>19.06.29</t>
  </si>
  <si>
    <t>26.06.19</t>
  </si>
  <si>
    <t>26.06.39</t>
  </si>
  <si>
    <t>2019-20</t>
  </si>
  <si>
    <t>4.50-5.50</t>
  </si>
  <si>
    <t>FDI inflows(Net)</t>
  </si>
  <si>
    <t>17.07.19</t>
  </si>
  <si>
    <t>5.25-6.00</t>
  </si>
  <si>
    <t>5.50-6.00</t>
  </si>
  <si>
    <t>11.09.19</t>
  </si>
  <si>
    <t>21.08.19</t>
  </si>
  <si>
    <t>21.08.29</t>
  </si>
  <si>
    <t>1. Export figures  include that of EPZ</t>
  </si>
  <si>
    <t>09.10.19</t>
  </si>
  <si>
    <t>16.10.19</t>
  </si>
  <si>
    <t>13.11.19</t>
  </si>
  <si>
    <t>1. Exchange rates between Taka &amp; other foreign currencies (except USD) are based on their cross rates with US dollar</t>
  </si>
  <si>
    <t>11.12.19</t>
  </si>
  <si>
    <t>11.12.24</t>
  </si>
  <si>
    <t>20.11.19</t>
  </si>
  <si>
    <t>18.12.19</t>
  </si>
  <si>
    <t>18.12.29</t>
  </si>
  <si>
    <t>26.12.19</t>
  </si>
  <si>
    <r>
      <t>Export</t>
    </r>
    <r>
      <rPr>
        <vertAlign val="superscript"/>
        <sz val="8"/>
        <rFont val="Times New Roman"/>
        <family val="1"/>
      </rPr>
      <t>*</t>
    </r>
  </si>
  <si>
    <t>Usage at ATMs &amp; CRM</t>
  </si>
  <si>
    <t>ATM &amp; CRM Transactions (Acquiring)</t>
  </si>
  <si>
    <t xml:space="preserve"> Usage at  ATMs          &amp; CRM</t>
  </si>
  <si>
    <t>CRM = Cash Recycling Machine</t>
  </si>
  <si>
    <t>MICR= Magnetic Ink Character Recognition; ATM = Automated Teller Machine; POS = Point of Sale,</t>
  </si>
  <si>
    <t>15.01.20</t>
  </si>
  <si>
    <t>15.01.25</t>
  </si>
  <si>
    <t>5.00-9.00</t>
  </si>
  <si>
    <t>2.  Total credit to government (gross) by the banking system equals to total claims on government (gross) excluding government</t>
  </si>
  <si>
    <t>22.01.20</t>
  </si>
  <si>
    <t>22.01.30</t>
  </si>
  <si>
    <t>29.01.20</t>
  </si>
  <si>
    <t>Email:  faruqul.islam@bb.org.bd</t>
  </si>
  <si>
    <t>TABLE XXVII</t>
  </si>
  <si>
    <t xml:space="preserve">                    IMPORTANT ECONOMIC INDICATORS OF SAARC COUNTRIES                   </t>
  </si>
  <si>
    <t>IMPORTANT ECONOMIC INDICATORS OF BANGLADESH WITH SAARC COUNTRIES</t>
  </si>
  <si>
    <t>TABLE-XXVI</t>
  </si>
  <si>
    <t>(Taka in Million)</t>
  </si>
  <si>
    <t>Securities Other than Shares, included in Broad money</t>
  </si>
  <si>
    <t>TABLE-XXIV</t>
  </si>
  <si>
    <t>TABLE-XXIII</t>
  </si>
  <si>
    <t>Thai  Baht</t>
  </si>
  <si>
    <t>Thai Baht</t>
  </si>
  <si>
    <t xml:space="preserve">Taka in Crore </t>
  </si>
  <si>
    <t xml:space="preserve">(Taka in crore)         </t>
  </si>
  <si>
    <t xml:space="preserve">     Production   (in '000' Metric Tons)</t>
  </si>
  <si>
    <t xml:space="preserve">     Production   (in '000' Metric  Tons)</t>
  </si>
  <si>
    <t xml:space="preserve">       Area           (in '000' acres)</t>
  </si>
  <si>
    <t xml:space="preserve">     Area         (in '000' acres)</t>
  </si>
  <si>
    <t>TABLE IIG (Contd.)</t>
  </si>
  <si>
    <t>TABLE IIG (Concld.)</t>
  </si>
  <si>
    <t xml:space="preserve">Amount </t>
  </si>
  <si>
    <t>Amount</t>
  </si>
  <si>
    <t>3. Accounts and Budgeting Department, Bangladesh Bank for foreign exchange reserves</t>
  </si>
  <si>
    <t xml:space="preserve">With effect from 23.05.15  </t>
  </si>
  <si>
    <t xml:space="preserve">With effect from 13.02.20  </t>
  </si>
  <si>
    <t xml:space="preserve">BUILDING FINANCE CORPORATION &amp; NATIONAL SAVINGS CERTIFICATES     </t>
  </si>
  <si>
    <t xml:space="preserve">          BANK RATE &amp; INTEREST RATE STRUCTURE OF POST OFFICE SAVINGS BANK, HOUSE  </t>
  </si>
  <si>
    <t xml:space="preserve"> (Taka in Million)</t>
  </si>
  <si>
    <t>6.00*</t>
  </si>
  <si>
    <t xml:space="preserve">      (Taka in crore)</t>
  </si>
  <si>
    <t xml:space="preserve">              (Taka in crore)</t>
  </si>
  <si>
    <t xml:space="preserve">                TABLE -XIIB</t>
  </si>
  <si>
    <t xml:space="preserve">                                  (In Million US$)</t>
  </si>
  <si>
    <t>Kamrun Nahar Mukta</t>
  </si>
  <si>
    <t>Depository Corporations Survey</t>
  </si>
  <si>
    <t>Email: kamrun.mukta@bb.org.bd</t>
  </si>
  <si>
    <t>12.60</t>
  </si>
  <si>
    <t>5.25-5.50</t>
  </si>
  <si>
    <t>03.07.19</t>
  </si>
  <si>
    <t>04.09.19</t>
  </si>
  <si>
    <t>02.10.19</t>
  </si>
  <si>
    <t>06.11.19</t>
  </si>
  <si>
    <t>04.12.19</t>
  </si>
  <si>
    <t>08.01.20</t>
  </si>
  <si>
    <t>04.03.20</t>
  </si>
  <si>
    <t>03.07.21</t>
  </si>
  <si>
    <t>04.09.21</t>
  </si>
  <si>
    <t>04.12.21</t>
  </si>
  <si>
    <t>08.01.22</t>
  </si>
  <si>
    <t>4.00-5.00</t>
  </si>
  <si>
    <t xml:space="preserve">Md. Nurul Islam                           Deputy General Manager  </t>
  </si>
  <si>
    <t xml:space="preserve">Md. Faruqul Islam                       Joint Director      </t>
  </si>
  <si>
    <t>03.06.20</t>
  </si>
  <si>
    <t>03.06.22</t>
  </si>
  <si>
    <t>10.06.20</t>
  </si>
  <si>
    <t>10.06.25</t>
  </si>
  <si>
    <t>17.06.20</t>
  </si>
  <si>
    <t>17.06.30</t>
  </si>
  <si>
    <t>24.06.20</t>
  </si>
  <si>
    <t>24.06.35</t>
  </si>
  <si>
    <t>24.06.40</t>
  </si>
  <si>
    <t>i)Data have been valued using the concept of the"Own Funds at Book Value(OFBV)",which may differ from market value of stocks</t>
  </si>
  <si>
    <t>ii)Inflow figures are recorded as during the period but stock figures are recorded as end period</t>
  </si>
  <si>
    <t>…= Not Available</t>
  </si>
  <si>
    <t xml:space="preserve">Note:*From period 2011-12 the income,expenditure &amp; profitability of specialized banks(BKB &amp; RAKUB)are calculated on fiscal year basis </t>
  </si>
  <si>
    <t>2020-21</t>
  </si>
  <si>
    <t>With effect from 29.07.20  &amp; onwards</t>
  </si>
  <si>
    <t>With effect from 16.03.20 </t>
  </si>
  <si>
    <t>3.50-4.00</t>
  </si>
  <si>
    <t>Foreign Trade &amp; Foreign Exchange  Reserves                (Million US $)</t>
  </si>
  <si>
    <t>08.07.20</t>
  </si>
  <si>
    <t>08.07.22</t>
  </si>
  <si>
    <t>15.07.20</t>
  </si>
  <si>
    <t>15.07.25</t>
  </si>
  <si>
    <t>22.07.20</t>
  </si>
  <si>
    <t>4.Compilation procedure has been changed since Sep'17 &amp; CRR rate has changed from April'20</t>
  </si>
  <si>
    <r>
      <t>2019-20</t>
    </r>
    <r>
      <rPr>
        <vertAlign val="superscript"/>
        <sz val="8"/>
        <rFont val="Times New Roman"/>
        <family val="1"/>
      </rPr>
      <t>p</t>
    </r>
  </si>
  <si>
    <t>p=provisional</t>
  </si>
  <si>
    <t>2.Weighted average rates of interest on deposits &amp; advances of 29deposits taking Non Bank Financial Institutions(NBFIs)have been introduced from June2013</t>
  </si>
  <si>
    <t>A.K.M. Fazlul Haque Mia</t>
  </si>
  <si>
    <t xml:space="preserve">       Executive Director (Statistics)</t>
  </si>
  <si>
    <t>5.00-5.50</t>
  </si>
  <si>
    <t>2.00-7.50</t>
  </si>
  <si>
    <t>PROFIT RATE STRUCTURE OF THE ISLAMIC BANKS, 2019</t>
  </si>
  <si>
    <t>Profit Rate Structure of  the Islamic Banks, 2019</t>
  </si>
  <si>
    <t>05.08.20</t>
  </si>
  <si>
    <t>05.08.22</t>
  </si>
  <si>
    <t>19.08.20</t>
  </si>
  <si>
    <r>
      <t>2019-20</t>
    </r>
    <r>
      <rPr>
        <b/>
        <vertAlign val="superscript"/>
        <sz val="8"/>
        <color theme="1"/>
        <rFont val="Times New Roman"/>
        <family val="1"/>
      </rPr>
      <t>P</t>
    </r>
  </si>
  <si>
    <r>
      <t>2020-21</t>
    </r>
    <r>
      <rPr>
        <b/>
        <vertAlign val="superscript"/>
        <sz val="9"/>
        <color theme="1"/>
        <rFont val="Times New Roman"/>
        <family val="1"/>
      </rPr>
      <t>P</t>
    </r>
  </si>
  <si>
    <r>
      <t>2020-21</t>
    </r>
    <r>
      <rPr>
        <b/>
        <vertAlign val="superscript"/>
        <sz val="8"/>
        <color indexed="8"/>
        <rFont val="Times New Roman"/>
        <family val="1"/>
      </rPr>
      <t>P</t>
    </r>
  </si>
  <si>
    <r>
      <t>2020-21</t>
    </r>
    <r>
      <rPr>
        <b/>
        <vertAlign val="superscript"/>
        <sz val="8"/>
        <rFont val="Times New Roman"/>
        <family val="1"/>
      </rPr>
      <t>P</t>
    </r>
  </si>
  <si>
    <t xml:space="preserve">              E-BANKING &amp;   E-COMMERCE STATISTICS                   </t>
  </si>
  <si>
    <t xml:space="preserve">                E-BANKING &amp;  E-COMMERCE STATISTICS                   </t>
  </si>
  <si>
    <t>Cards    Transactions</t>
  </si>
  <si>
    <t>              2. Department of Agricultural Marketing</t>
  </si>
  <si>
    <t>Broad          Money       (M2)      (9+14)</t>
  </si>
  <si>
    <t xml:space="preserve">Broad          Money       (M3)      </t>
  </si>
  <si>
    <t xml:space="preserve">       TABLE-IA (Contd.)</t>
  </si>
  <si>
    <t xml:space="preserve">          (Taka in crore)</t>
  </si>
  <si>
    <t xml:space="preserve">                         TABLE-XIIA (Contd.)</t>
  </si>
  <si>
    <t>TABLE-XIIA(Contd.)</t>
  </si>
  <si>
    <t xml:space="preserve">             (Taka in crore)</t>
  </si>
  <si>
    <t xml:space="preserve">       (Taka in crore)</t>
  </si>
  <si>
    <t>SL No.</t>
  </si>
  <si>
    <t>ISIN</t>
  </si>
  <si>
    <t>Tenor (year)</t>
  </si>
  <si>
    <t>Issue Date</t>
  </si>
  <si>
    <t xml:space="preserve"> Maturity Date</t>
  </si>
  <si>
    <t xml:space="preserve">Reissue Date </t>
  </si>
  <si>
    <t>Outstanding Balance</t>
  </si>
  <si>
    <t>Reissue Date</t>
  </si>
  <si>
    <t>a. BD(Govt) Treasury Bond</t>
  </si>
  <si>
    <t>BD0929221101</t>
  </si>
  <si>
    <t>18.03.20</t>
  </si>
  <si>
    <t>BD0925061154</t>
  </si>
  <si>
    <t>BD0929401158</t>
  </si>
  <si>
    <t>BD0929161208</t>
  </si>
  <si>
    <t>BD0933441208</t>
  </si>
  <si>
    <t>29.05.13</t>
  </si>
  <si>
    <t>29.05.33</t>
  </si>
  <si>
    <t>b. Other Treasury Bond</t>
  </si>
  <si>
    <t>BD0930261104</t>
  </si>
  <si>
    <t>BD0925101158</t>
  </si>
  <si>
    <t>BD0929441154</t>
  </si>
  <si>
    <t>BD0929201202</t>
  </si>
  <si>
    <t>BD0933481204</t>
  </si>
  <si>
    <t>26.06.13</t>
  </si>
  <si>
    <t>26.06.33</t>
  </si>
  <si>
    <t>BD0930381100</t>
  </si>
  <si>
    <t>07.05.20</t>
  </si>
  <si>
    <t>07.05.30</t>
  </si>
  <si>
    <t>BD0925141154</t>
  </si>
  <si>
    <t>BD0929481150</t>
  </si>
  <si>
    <t>BD0930251204</t>
  </si>
  <si>
    <t>BD0933041206</t>
  </si>
  <si>
    <t>24.07.13</t>
  </si>
  <si>
    <t>24.07.33</t>
  </si>
  <si>
    <t>BD0921011021</t>
  </si>
  <si>
    <t>BD0921021103</t>
  </si>
  <si>
    <t>BD0930431103</t>
  </si>
  <si>
    <t>BD0925181150</t>
  </si>
  <si>
    <t>BD0929041152</t>
  </si>
  <si>
    <t>BD0930281201</t>
  </si>
  <si>
    <t>BD0933081202</t>
  </si>
  <si>
    <t>29.08.13</t>
  </si>
  <si>
    <t>29.08.33</t>
  </si>
  <si>
    <t>BD0921081024</t>
  </si>
  <si>
    <t>BD0921061109</t>
  </si>
  <si>
    <t>BD0930031101</t>
  </si>
  <si>
    <t>22.07.30</t>
  </si>
  <si>
    <t>BD0925221154</t>
  </si>
  <si>
    <t>BD0929081158</t>
  </si>
  <si>
    <t>BD0930321205</t>
  </si>
  <si>
    <t>27.04.10</t>
  </si>
  <si>
    <t>27.04.30</t>
  </si>
  <si>
    <t>BD0933121206</t>
  </si>
  <si>
    <t>25.09.13</t>
  </si>
  <si>
    <t>25.09.33</t>
  </si>
  <si>
    <t>BD0921201028</t>
  </si>
  <si>
    <t>BD0921101103</t>
  </si>
  <si>
    <t>BD0922021151</t>
  </si>
  <si>
    <t>11.07.07</t>
  </si>
  <si>
    <t>BD0926261159</t>
  </si>
  <si>
    <t>BD0929121152</t>
  </si>
  <si>
    <t>BD0930361201</t>
  </si>
  <si>
    <t>BD0933161202</t>
  </si>
  <si>
    <t>23.10.13</t>
  </si>
  <si>
    <t>23.10.33</t>
  </si>
  <si>
    <t>BD0922241023</t>
  </si>
  <si>
    <t>BD0921141109</t>
  </si>
  <si>
    <t>BD0922061157</t>
  </si>
  <si>
    <t>15.08.07</t>
  </si>
  <si>
    <t>15.08.22</t>
  </si>
  <si>
    <t>BD0926301153</t>
  </si>
  <si>
    <t>BD0929161158</t>
  </si>
  <si>
    <t>BD0930401205</t>
  </si>
  <si>
    <t>24.06.10</t>
  </si>
  <si>
    <t>24.06.30</t>
  </si>
  <si>
    <t>BD0933201206</t>
  </si>
  <si>
    <t>27.11.13</t>
  </si>
  <si>
    <t>27.11.33</t>
  </si>
  <si>
    <t>BD0922361029</t>
  </si>
  <si>
    <t>22.04.20</t>
  </si>
  <si>
    <t>22.04.22</t>
  </si>
  <si>
    <t>BD0921181105</t>
  </si>
  <si>
    <t>BD0922101151</t>
  </si>
  <si>
    <t>BD0926341159</t>
  </si>
  <si>
    <t>BD0929201152</t>
  </si>
  <si>
    <t>25.02.15</t>
  </si>
  <si>
    <t>BD0930041209</t>
  </si>
  <si>
    <t>BD0933241202</t>
  </si>
  <si>
    <t>BD0922411022</t>
  </si>
  <si>
    <t>BD0921221109</t>
  </si>
  <si>
    <t>BD0922141157</t>
  </si>
  <si>
    <t>10.10.07</t>
  </si>
  <si>
    <t>BD0926381155</t>
  </si>
  <si>
    <t>BD0930041159</t>
  </si>
  <si>
    <t>BD0930081205</t>
  </si>
  <si>
    <t>BD0934281207</t>
  </si>
  <si>
    <t>BD0922011020</t>
  </si>
  <si>
    <t>BD0922261104</t>
  </si>
  <si>
    <t>BD0922181153</t>
  </si>
  <si>
    <t>BD0926421159</t>
  </si>
  <si>
    <t>BD0930121159</t>
  </si>
  <si>
    <t>BD0930121209</t>
  </si>
  <si>
    <t>BD0934321201</t>
  </si>
  <si>
    <t>BD0922281037</t>
  </si>
  <si>
    <t>27.03.22</t>
  </si>
  <si>
    <t>BD0922301108</t>
  </si>
  <si>
    <t>BD0922221157</t>
  </si>
  <si>
    <t>BD0926071152</t>
  </si>
  <si>
    <t>BD0931401154</t>
  </si>
  <si>
    <t>BD0930161205</t>
  </si>
  <si>
    <t>BD0934361207</t>
  </si>
  <si>
    <t>BD0922341104</t>
  </si>
  <si>
    <t>BD0923261152</t>
  </si>
  <si>
    <t>BD0926111156</t>
  </si>
  <si>
    <t>BD0933101158</t>
  </si>
  <si>
    <t>BD0930201209</t>
  </si>
  <si>
    <t>BD0934401201</t>
  </si>
  <si>
    <t>23.10.22</t>
  </si>
  <si>
    <t>BD0922381100</t>
  </si>
  <si>
    <t>BD0923301156</t>
  </si>
  <si>
    <t>BD0926151152</t>
  </si>
  <si>
    <t>18.10.11</t>
  </si>
  <si>
    <t>18.10.26</t>
  </si>
  <si>
    <t>BD0933141154</t>
  </si>
  <si>
    <t>25.03.20</t>
  </si>
  <si>
    <t>BD0930241205</t>
  </si>
  <si>
    <t>BD0934441207</t>
  </si>
  <si>
    <t>BD0922421104</t>
  </si>
  <si>
    <t>BD0923341152</t>
  </si>
  <si>
    <t>12.03.08</t>
  </si>
  <si>
    <t>12.03.23</t>
  </si>
  <si>
    <t>BD0926191158</t>
  </si>
  <si>
    <t>BD0935391153</t>
  </si>
  <si>
    <t>13.05.20</t>
  </si>
  <si>
    <t>13.05.35</t>
  </si>
  <si>
    <t>BD0931281200</t>
  </si>
  <si>
    <t>BD0934481203</t>
  </si>
  <si>
    <t>BD0922461100</t>
  </si>
  <si>
    <t>BD0923381158</t>
  </si>
  <si>
    <t>BD0926231152</t>
  </si>
  <si>
    <t>20.12.11</t>
  </si>
  <si>
    <t>20.12.26</t>
  </si>
  <si>
    <t>BD0935441156</t>
  </si>
  <si>
    <t>BD0931321204</t>
  </si>
  <si>
    <t>BD0934041205</t>
  </si>
  <si>
    <t>BD0922021102</t>
  </si>
  <si>
    <t>BD0923421152</t>
  </si>
  <si>
    <t>BD0927271157</t>
  </si>
  <si>
    <t>BD0927041204</t>
  </si>
  <si>
    <t>25.07.07</t>
  </si>
  <si>
    <t>25.07.27</t>
  </si>
  <si>
    <t>BD0931361200</t>
  </si>
  <si>
    <t>BD0934081201</t>
  </si>
  <si>
    <t>BD0922061108</t>
  </si>
  <si>
    <t>BD0923461158</t>
  </si>
  <si>
    <t>BD0927311151</t>
  </si>
  <si>
    <t>BD0927081200</t>
  </si>
  <si>
    <t>29.08.07</t>
  </si>
  <si>
    <t>29.08.27</t>
  </si>
  <si>
    <t>BD0931401204</t>
  </si>
  <si>
    <t>BD0934121205</t>
  </si>
  <si>
    <t>BD0922101102</t>
  </si>
  <si>
    <t>BD0923021150</t>
  </si>
  <si>
    <t>BD0927351157</t>
  </si>
  <si>
    <t>BD0927121204</t>
  </si>
  <si>
    <t>BD0931441200</t>
  </si>
  <si>
    <t>BD0934161201</t>
  </si>
  <si>
    <t>BD0922141108</t>
  </si>
  <si>
    <t>BD0923061156</t>
  </si>
  <si>
    <t>BD0927391153</t>
  </si>
  <si>
    <t>BD0927161200</t>
  </si>
  <si>
    <t>BD0931471207</t>
  </si>
  <si>
    <t>BD0934201205</t>
  </si>
  <si>
    <t>BD0922181104</t>
  </si>
  <si>
    <t>BD0923101150</t>
  </si>
  <si>
    <t>BD0927431157</t>
  </si>
  <si>
    <t>BD0927201204</t>
  </si>
  <si>
    <t>BD0931041208</t>
  </si>
  <si>
    <t>BD0935041204</t>
  </si>
  <si>
    <t>BD0922221108</t>
  </si>
  <si>
    <t>BD0923141156</t>
  </si>
  <si>
    <t>BD0927471153</t>
  </si>
  <si>
    <t>BD0927241200</t>
  </si>
  <si>
    <t>BD0931081204</t>
  </si>
  <si>
    <t>BD0935201204</t>
  </si>
  <si>
    <t>BD0921011054</t>
  </si>
  <si>
    <t>BD0923261103</t>
  </si>
  <si>
    <t>BD0923181152</t>
  </si>
  <si>
    <t>BD0927031155</t>
  </si>
  <si>
    <t>BD0928281205</t>
  </si>
  <si>
    <t>BD0931121208</t>
  </si>
  <si>
    <t>BD0936401209</t>
  </si>
  <si>
    <t>BD0922241056</t>
  </si>
  <si>
    <t>BD0923301107</t>
  </si>
  <si>
    <t>BD0923221156</t>
  </si>
  <si>
    <t>11.12.08</t>
  </si>
  <si>
    <t>11.12.23</t>
  </si>
  <si>
    <t>BD0927111155</t>
  </si>
  <si>
    <t>BD0928321209</t>
  </si>
  <si>
    <t>BD0931161204</t>
  </si>
  <si>
    <t>BD0938141209</t>
  </si>
  <si>
    <t>BD0923341103</t>
  </si>
  <si>
    <t>BD0924261151</t>
  </si>
  <si>
    <t>BD0927151151</t>
  </si>
  <si>
    <t>BD0928361205</t>
  </si>
  <si>
    <t>BD0931201208</t>
  </si>
  <si>
    <t>BD0939391209</t>
  </si>
  <si>
    <t>BD0923381109</t>
  </si>
  <si>
    <t>BD0924301155</t>
  </si>
  <si>
    <t>BD0927191157</t>
  </si>
  <si>
    <t>BD0928401209</t>
  </si>
  <si>
    <t>BD0931241204</t>
  </si>
  <si>
    <t>BD0940401203</t>
  </si>
  <si>
    <t>20.05.20</t>
  </si>
  <si>
    <t>20.05.40</t>
  </si>
  <si>
    <t>BD0924261052</t>
  </si>
  <si>
    <t>BD0923031100</t>
  </si>
  <si>
    <t>13.10.13</t>
  </si>
  <si>
    <t>BD0924341151</t>
  </si>
  <si>
    <t>BD0927231151</t>
  </si>
  <si>
    <t>BD0928441205</t>
  </si>
  <si>
    <t>BD0932281209</t>
  </si>
  <si>
    <t>25.01.12</t>
  </si>
  <si>
    <t>BD0940441209</t>
  </si>
  <si>
    <t>BD0924371059</t>
  </si>
  <si>
    <t>BD0923191102</t>
  </si>
  <si>
    <t>19.02.14</t>
  </si>
  <si>
    <t>BD0924021050</t>
  </si>
  <si>
    <t>BD0924351101</t>
  </si>
  <si>
    <t>21.05.14</t>
  </si>
  <si>
    <t>BD0924211057</t>
  </si>
  <si>
    <t>11.03.20</t>
  </si>
  <si>
    <t>BD0924461157</t>
  </si>
  <si>
    <t>BD0928351156</t>
  </si>
  <si>
    <t>BD0928081209</t>
  </si>
  <si>
    <t>BD0932401203</t>
  </si>
  <si>
    <t>26.04.12</t>
  </si>
  <si>
    <t>26.04.32</t>
  </si>
  <si>
    <t>BD0925251052</t>
  </si>
  <si>
    <t>BD0924021159</t>
  </si>
  <si>
    <t>BD0928391152</t>
  </si>
  <si>
    <t>BD0928121203</t>
  </si>
  <si>
    <t>BD0932441209</t>
  </si>
  <si>
    <t>30.05.12</t>
  </si>
  <si>
    <t>30.05.32</t>
  </si>
  <si>
    <t>BD0925371058</t>
  </si>
  <si>
    <t>29.04.20</t>
  </si>
  <si>
    <t>29.04.25</t>
  </si>
  <si>
    <t>BD0925381107</t>
  </si>
  <si>
    <t>BD0924061155</t>
  </si>
  <si>
    <t>BD0928431156</t>
  </si>
  <si>
    <t>BD0928161209</t>
  </si>
  <si>
    <t>BD0932481205</t>
  </si>
  <si>
    <t>27.06.12</t>
  </si>
  <si>
    <t>27.06.32</t>
  </si>
  <si>
    <t>BD0925421051</t>
  </si>
  <si>
    <t>BD0925071104</t>
  </si>
  <si>
    <t>19.08.15</t>
  </si>
  <si>
    <t>19.08.25</t>
  </si>
  <si>
    <t>20.09.18</t>
  </si>
  <si>
    <t>BD0924101159</t>
  </si>
  <si>
    <t>BD0928471152</t>
  </si>
  <si>
    <t>BD0928201203</t>
  </si>
  <si>
    <t>BD0932041207</t>
  </si>
  <si>
    <t>25.07.12</t>
  </si>
  <si>
    <t>25.07.32</t>
  </si>
  <si>
    <t>BD0925021059</t>
  </si>
  <si>
    <t>BD0926271109</t>
  </si>
  <si>
    <t>BD0924141155</t>
  </si>
  <si>
    <t>BD0928041153</t>
  </si>
  <si>
    <t>24.07.28</t>
  </si>
  <si>
    <t>BD0928241209</t>
  </si>
  <si>
    <t>BD0932081203</t>
  </si>
  <si>
    <t>29.08.12</t>
  </si>
  <si>
    <t>29.08.32</t>
  </si>
  <si>
    <t>BD0926021108</t>
  </si>
  <si>
    <t>BD0924181151</t>
  </si>
  <si>
    <t>BD0928081159</t>
  </si>
  <si>
    <t>29.08.28</t>
  </si>
  <si>
    <t>BD0929281204</t>
  </si>
  <si>
    <t>BD0932121207</t>
  </si>
  <si>
    <t>26.09.12</t>
  </si>
  <si>
    <t>BD0927251100</t>
  </si>
  <si>
    <t>BD0925231153</t>
  </si>
  <si>
    <t>BD0928121153</t>
  </si>
  <si>
    <t>25.09.28</t>
  </si>
  <si>
    <t>BD0929321208</t>
  </si>
  <si>
    <t>BD0932161203</t>
  </si>
  <si>
    <t>25.10.12</t>
  </si>
  <si>
    <t>25.10.32</t>
  </si>
  <si>
    <t>BD0927101107</t>
  </si>
  <si>
    <t>BD0925261150</t>
  </si>
  <si>
    <t>BD0928161159</t>
  </si>
  <si>
    <t>23.10.28</t>
  </si>
  <si>
    <t>BD0929361204</t>
  </si>
  <si>
    <t>BD0932201207</t>
  </si>
  <si>
    <t>28.11.12</t>
  </si>
  <si>
    <t>28.11.32</t>
  </si>
  <si>
    <t>BD0928331109</t>
  </si>
  <si>
    <t>BD0925301154</t>
  </si>
  <si>
    <t>BD0928201153</t>
  </si>
  <si>
    <t>BD0929401208</t>
  </si>
  <si>
    <t>BD0932241203</t>
  </si>
  <si>
    <t>26.12.12</t>
  </si>
  <si>
    <t>26.12.32</t>
  </si>
  <si>
    <t>BD0928131103</t>
  </si>
  <si>
    <t>BD0925341150</t>
  </si>
  <si>
    <t>BD0928241159</t>
  </si>
  <si>
    <t>BD0929441204</t>
  </si>
  <si>
    <t>BD0933281208</t>
  </si>
  <si>
    <t>23.01.13</t>
  </si>
  <si>
    <t>23.01.33</t>
  </si>
  <si>
    <t>BD0929311100</t>
  </si>
  <si>
    <t>BD0925381156</t>
  </si>
  <si>
    <t>BD0929281154</t>
  </si>
  <si>
    <t>BD0929481200</t>
  </si>
  <si>
    <t>BD0933321202</t>
  </si>
  <si>
    <t>27.02.13</t>
  </si>
  <si>
    <t>27.02.33</t>
  </si>
  <si>
    <t>BD0929381103</t>
  </si>
  <si>
    <t>BD0925421150</t>
  </si>
  <si>
    <t>BD0929321158</t>
  </si>
  <si>
    <t>BD0929041202</t>
  </si>
  <si>
    <t>BD0933361208</t>
  </si>
  <si>
    <t>27.03.13</t>
  </si>
  <si>
    <t>27.03.33</t>
  </si>
  <si>
    <t>BD0929061101</t>
  </si>
  <si>
    <t>BD0925021158</t>
  </si>
  <si>
    <t>14.07.10</t>
  </si>
  <si>
    <t>14.07.25</t>
  </si>
  <si>
    <t>BD0929361154</t>
  </si>
  <si>
    <t>BD0929081208</t>
  </si>
  <si>
    <t>BD0933401202</t>
  </si>
  <si>
    <t>24.04.13</t>
  </si>
  <si>
    <t>24.04.33</t>
  </si>
  <si>
    <t>…=Not available</t>
  </si>
  <si>
    <t>BD0922051026</t>
  </si>
  <si>
    <t>Interest Payments on half yearly &amp; principal payment after maturituy.</t>
  </si>
  <si>
    <t>Cut off Yeild (%)</t>
  </si>
  <si>
    <t>BOND NAME</t>
  </si>
  <si>
    <t xml:space="preserve">Reserve Money   </t>
  </si>
  <si>
    <t>BD0922121027</t>
  </si>
  <si>
    <t>07.10.20</t>
  </si>
  <si>
    <t>07.10.22</t>
  </si>
  <si>
    <t>16.09.20</t>
  </si>
  <si>
    <t>BD0925131056</t>
  </si>
  <si>
    <t>14.10.20</t>
  </si>
  <si>
    <t>14.10.25</t>
  </si>
  <si>
    <t>23.09.20</t>
  </si>
  <si>
    <t>BD0930141108</t>
  </si>
  <si>
    <t>21.10.20</t>
  </si>
  <si>
    <t>30.09.20</t>
  </si>
  <si>
    <t>Mansura Parvin                          General Manager</t>
  </si>
  <si>
    <t>With  effect  from 08.11.03</t>
  </si>
  <si>
    <t xml:space="preserve">    With   effect from 01.11.02</t>
  </si>
  <si>
    <t xml:space="preserve">      Area       (in '000' acres)</t>
  </si>
  <si>
    <t>04.11.20</t>
  </si>
  <si>
    <t>3.00-4.00</t>
  </si>
  <si>
    <t>4.50-5.00</t>
  </si>
  <si>
    <t>3.50-5.00</t>
  </si>
  <si>
    <t>2.25-2.50</t>
  </si>
  <si>
    <t>2.50-2.75</t>
  </si>
  <si>
    <t>2.75-3.00</t>
  </si>
  <si>
    <t>5.00-5.25</t>
  </si>
  <si>
    <r>
      <t>2019-20</t>
    </r>
    <r>
      <rPr>
        <vertAlign val="superscript"/>
        <sz val="8"/>
        <color indexed="8"/>
        <rFont val="Times New Roman"/>
        <family val="1"/>
      </rPr>
      <t>P</t>
    </r>
  </si>
  <si>
    <t>Deputy Director</t>
  </si>
  <si>
    <t xml:space="preserve">Deputy Director            </t>
  </si>
  <si>
    <t xml:space="preserve">   </t>
  </si>
  <si>
    <t>4.00-4.75</t>
  </si>
  <si>
    <t>3.25-3.50</t>
  </si>
  <si>
    <t>2.50-4.00</t>
  </si>
  <si>
    <t>5.50-5.75</t>
  </si>
  <si>
    <t>5.75-6.25</t>
  </si>
  <si>
    <t>2.00-2.50</t>
  </si>
  <si>
    <t>2.50-3.00</t>
  </si>
  <si>
    <t>0.10-0.50</t>
  </si>
  <si>
    <t>8.25-9.00</t>
  </si>
  <si>
    <t>4.00-7.00</t>
  </si>
  <si>
    <t>7.25-9.00</t>
  </si>
  <si>
    <t>PKB</t>
  </si>
  <si>
    <t>5.75-7.50</t>
  </si>
  <si>
    <t>CBBL</t>
  </si>
  <si>
    <t>1.50-5.50</t>
  </si>
  <si>
    <t>8.75-9.00</t>
  </si>
  <si>
    <t xml:space="preserve">ii)  Deposit Money Banks (DMBs) comprise 60 Scheduled Banks &amp; BSBL </t>
  </si>
  <si>
    <t>02.12.20</t>
  </si>
  <si>
    <t>BD0925211056</t>
  </si>
  <si>
    <t>09.12.25</t>
  </si>
  <si>
    <t>17.12.20</t>
  </si>
  <si>
    <t xml:space="preserve">    ... = Not Available</t>
  </si>
  <si>
    <t>FDI inflows(Net) and Portfolio investment inflows</t>
  </si>
  <si>
    <t>3. Statistics Department of Bangladesh Bank for Service Inflows, Service Outflows , Wage Earners Remittance Data,</t>
  </si>
  <si>
    <t xml:space="preserve">Fatema Fazrin                       Assistant Director      </t>
  </si>
  <si>
    <t xml:space="preserve">No. of Transactions </t>
  </si>
  <si>
    <t>Local Transactions  (Issuing)</t>
  </si>
  <si>
    <t>ISIN=International Securites Identification Number</t>
  </si>
  <si>
    <t>i)  DMBs advances to public &amp; private include balances with OFIs, NBDCs and money at call &amp; short notice</t>
  </si>
  <si>
    <t>2.00-3.50</t>
  </si>
  <si>
    <t>6.00-6.25</t>
  </si>
  <si>
    <t>9.00-10.00</t>
  </si>
  <si>
    <t>3.00-6.00</t>
  </si>
  <si>
    <t xml:space="preserve"> Statistics Department </t>
  </si>
  <si>
    <t>Email: fatema.fazrin@bb.org.bd</t>
  </si>
  <si>
    <t xml:space="preserve">Assistant Director            </t>
  </si>
  <si>
    <r>
      <t>2019-20</t>
    </r>
    <r>
      <rPr>
        <b/>
        <vertAlign val="superscript"/>
        <sz val="8"/>
        <color indexed="8"/>
        <rFont val="Times New Roman"/>
        <family val="1"/>
      </rPr>
      <t>P</t>
    </r>
  </si>
  <si>
    <t>3.50-6.75</t>
  </si>
  <si>
    <t>2.50-8.50</t>
  </si>
  <si>
    <t>1.50-2.50</t>
  </si>
  <si>
    <t>3.50-6.50</t>
  </si>
  <si>
    <t>7.99-8.49</t>
  </si>
  <si>
    <t>7.49-7.99</t>
  </si>
  <si>
    <t>5.00-6.50</t>
  </si>
  <si>
    <t>BD0923241022</t>
  </si>
  <si>
    <t>06.01.21</t>
  </si>
  <si>
    <t>06.01.23</t>
  </si>
  <si>
    <t>20.01.21</t>
  </si>
  <si>
    <t>21.10.30</t>
  </si>
  <si>
    <t>15.10.23</t>
  </si>
  <si>
    <t>26.12.07</t>
  </si>
  <si>
    <t>26.12.27</t>
  </si>
  <si>
    <t xml:space="preserve">                                                              BANK WISE ANNOUNCED INTEREST RATE STRUCTURE </t>
  </si>
  <si>
    <t xml:space="preserve">                                         BANK WISE ANNOUNCED INTEREST RATE STRUCTURE </t>
  </si>
  <si>
    <t>03.02.21</t>
  </si>
  <si>
    <t>BD0931301107</t>
  </si>
  <si>
    <t>17.02.21</t>
  </si>
  <si>
    <t>17.02.31</t>
  </si>
  <si>
    <t>1.25-2.00</t>
  </si>
  <si>
    <t>2.00-5.50</t>
  </si>
  <si>
    <t>0.50-3.50</t>
  </si>
  <si>
    <t>3.50-4.50</t>
  </si>
  <si>
    <t>2.50-5.00</t>
  </si>
  <si>
    <t>1.00-2.00</t>
  </si>
  <si>
    <t>5.25-6.25</t>
  </si>
  <si>
    <t>2.00-9.00</t>
  </si>
  <si>
    <t>8.50-9.00</t>
  </si>
  <si>
    <t>5.25-8.25</t>
  </si>
  <si>
    <t xml:space="preserve">     Production        (in '000' Metric Tons)</t>
  </si>
  <si>
    <t xml:space="preserve">     Production        (in '000'   Metric Tons)</t>
  </si>
  <si>
    <t>9.00-18.00</t>
  </si>
  <si>
    <t>3.75-22.00</t>
  </si>
  <si>
    <t>5.50-9.00</t>
  </si>
  <si>
    <t>5.Foreign Exchange Reserves represents Total International Reserves of the country</t>
  </si>
  <si>
    <t>Coupon Rate (%)</t>
  </si>
  <si>
    <t>27.11.28</t>
  </si>
  <si>
    <t>BD0926321052</t>
  </si>
  <si>
    <t>18.03.21</t>
  </si>
  <si>
    <t>18.03.26</t>
  </si>
  <si>
    <t>SOCBs</t>
  </si>
  <si>
    <t>SDBs</t>
  </si>
  <si>
    <t xml:space="preserve">SOCBs=State-Owned Commercial Banks;SDBs= Specialized Banks;PCBs=Private Commercial Banks;FCBs=Foreign Commercial Banks </t>
  </si>
  <si>
    <t xml:space="preserve">             Cards      Transactions                                                                                                                                                             </t>
  </si>
  <si>
    <r>
      <t>Source</t>
    </r>
    <r>
      <rPr>
        <sz val="8"/>
        <rFont val="Arial"/>
        <family val="1"/>
      </rPr>
      <t xml:space="preserve">: </t>
    </r>
  </si>
  <si>
    <t>4.00-8.00</t>
  </si>
  <si>
    <t>2.00-4.00</t>
  </si>
  <si>
    <t>5.00-8.00</t>
  </si>
  <si>
    <t>BD0923341020</t>
  </si>
  <si>
    <t>07.04.21</t>
  </si>
  <si>
    <t>07.04.23</t>
  </si>
  <si>
    <t>21.04.21</t>
  </si>
  <si>
    <t>28.04.21</t>
  </si>
  <si>
    <r>
      <t>2020-21</t>
    </r>
    <r>
      <rPr>
        <b/>
        <vertAlign val="superscript"/>
        <sz val="8"/>
        <color theme="1"/>
        <rFont val="Times New Roman"/>
        <family val="1"/>
      </rPr>
      <t>P</t>
    </r>
  </si>
  <si>
    <t xml:space="preserve">Maturity of Deposits  </t>
  </si>
  <si>
    <t>2.75-4.00</t>
  </si>
  <si>
    <t>4.25-5.25</t>
  </si>
  <si>
    <t>4.50-5.25</t>
  </si>
  <si>
    <t>4.25-7.18</t>
  </si>
  <si>
    <t>0.50-2.00</t>
  </si>
  <si>
    <t>2.00-3.00</t>
  </si>
  <si>
    <t>4.00-4.25</t>
  </si>
  <si>
    <t>0.05-5.00</t>
  </si>
  <si>
    <t>0.10-2.00</t>
  </si>
  <si>
    <t>0.15-3.00</t>
  </si>
  <si>
    <t>0.25-3.00</t>
  </si>
  <si>
    <t>0.75-2.00</t>
  </si>
  <si>
    <t>7.00-8.00</t>
  </si>
  <si>
    <t>27.05.21</t>
  </si>
  <si>
    <t>12.05.21</t>
  </si>
  <si>
    <t>BD0931401105</t>
  </si>
  <si>
    <t>19.05.21</t>
  </si>
  <si>
    <t>19.05.31</t>
  </si>
  <si>
    <t>R=Revised</t>
  </si>
  <si>
    <t>25.06.18</t>
  </si>
  <si>
    <t>25.06.21</t>
  </si>
  <si>
    <t>Interest Free</t>
  </si>
  <si>
    <t>30.09.19</t>
  </si>
  <si>
    <t>30.09.26</t>
  </si>
  <si>
    <t>25.09.22</t>
  </si>
  <si>
    <t>Frozen Food (Krishi Bank) SPTB</t>
  </si>
  <si>
    <t>Frozen Food (Sonali Bank) SPTB</t>
  </si>
  <si>
    <t>Hanif Flyover SPTB</t>
  </si>
  <si>
    <t>BPC (Agrani Bank) SPTB</t>
  </si>
  <si>
    <t>BPC (Janata Bank) STPB</t>
  </si>
  <si>
    <t>BPC (Sonali Bank) SPTB</t>
  </si>
  <si>
    <t>BPC (Janata Bank) SPTB</t>
  </si>
  <si>
    <t>BJMC (Sonali Bank) T.B.</t>
  </si>
  <si>
    <t>BJMC (Janata Bank) T.B.</t>
  </si>
  <si>
    <t>BJMC (Agrani Bank) T.B.</t>
  </si>
  <si>
    <t>BPC (Sonali Bank) T.B.</t>
  </si>
  <si>
    <t>BPC (Janata Bank) T.B.</t>
  </si>
  <si>
    <t>Rate of interest of Scheduled Banks (Weighted Average)</t>
  </si>
  <si>
    <t>July 2021</t>
  </si>
  <si>
    <t>To               Public      (18+22+26) </t>
  </si>
  <si>
    <t>09.06.21</t>
  </si>
  <si>
    <t>BD0926431059</t>
  </si>
  <si>
    <t>16.06.21</t>
  </si>
  <si>
    <t>16.06.26</t>
  </si>
  <si>
    <t>23.06.21</t>
  </si>
  <si>
    <t>30.06.21</t>
  </si>
  <si>
    <t>BD0941451207</t>
  </si>
  <si>
    <t>30.06.41</t>
  </si>
  <si>
    <t xml:space="preserve">   IN BANGLADESH (EXCEPT ISLAMIC BANKS), June 2021</t>
  </si>
  <si>
    <t>IN BANGLADESH(EXCEPT ISLAMIC BANKS),June 2021</t>
  </si>
  <si>
    <t>IN BANGLADESH (EXCEPT ISLAMIC BANKS), June 2021</t>
  </si>
  <si>
    <t>3.75-4.00</t>
  </si>
  <si>
    <t>1.50-2.75</t>
  </si>
  <si>
    <t>1.25-1.75</t>
  </si>
  <si>
    <t>3.50-6.00</t>
  </si>
  <si>
    <t>2.50-3.25</t>
  </si>
  <si>
    <t>3.00-3.75</t>
  </si>
  <si>
    <t>2.00-6.00</t>
  </si>
  <si>
    <t>5.00-6.00</t>
  </si>
  <si>
    <t>6.00-7.25</t>
  </si>
  <si>
    <t>6.25-7.50</t>
  </si>
  <si>
    <t>4.00-5.25</t>
  </si>
  <si>
    <t>3.25-6.50</t>
  </si>
  <si>
    <t>3.75-4.75</t>
  </si>
  <si>
    <t>2.50-3.50</t>
  </si>
  <si>
    <t>3.10-4.25</t>
  </si>
  <si>
    <t>3.30-3.50</t>
  </si>
  <si>
    <t>3.70-5.00</t>
  </si>
  <si>
    <t>1.50-4.00</t>
  </si>
  <si>
    <t>1.00-1.50</t>
  </si>
  <si>
    <t>1.25-1.50</t>
  </si>
  <si>
    <t>0.25-4.00</t>
  </si>
  <si>
    <t>0.20-2.50</t>
  </si>
  <si>
    <t>0.30-3.50</t>
  </si>
  <si>
    <t>3.00-8.00</t>
  </si>
  <si>
    <t>6.00-8.00</t>
  </si>
  <si>
    <t>2.00-5.00</t>
  </si>
  <si>
    <t xml:space="preserve">ii) Claims on resident sector exclude inter-bank claims                               </t>
  </si>
  <si>
    <t>Data updated  as on 30 June,2021</t>
  </si>
  <si>
    <t>Bank-wise Announced Interest Rate Structure in Bangladesh (Except Islamic Banks), June 2021</t>
  </si>
  <si>
    <r>
      <t>May</t>
    </r>
    <r>
      <rPr>
        <vertAlign val="superscript"/>
        <sz val="7.5"/>
        <color indexed="8"/>
        <rFont val="Times New Roman"/>
        <family val="1"/>
      </rPr>
      <t>R</t>
    </r>
  </si>
  <si>
    <r>
      <t>April</t>
    </r>
    <r>
      <rPr>
        <vertAlign val="superscript"/>
        <sz val="8"/>
        <rFont val="Times New Roman"/>
        <family val="1"/>
      </rPr>
      <t>R</t>
    </r>
  </si>
  <si>
    <t>Data updated  as on 31 May,2021</t>
  </si>
  <si>
    <r>
      <t>Foreign           Exchange       Reserves</t>
    </r>
    <r>
      <rPr>
        <vertAlign val="superscript"/>
        <sz val="9"/>
        <rFont val="Times New Roman"/>
        <family val="1"/>
      </rPr>
      <t>R</t>
    </r>
    <r>
      <rPr>
        <sz val="9"/>
        <rFont val="Times New Roman"/>
        <family val="1"/>
      </rPr>
      <t xml:space="preserve">     (end period)</t>
    </r>
  </si>
</sst>
</file>

<file path=xl/styles.xml><?xml version="1.0" encoding="utf-8"?>
<styleSheet xmlns="http://schemas.openxmlformats.org/spreadsheetml/2006/main">
  <numFmts count="18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\(0.00\)"/>
    <numFmt numFmtId="168" formatCode="0.00;[Red]0.00"/>
    <numFmt numFmtId="169" formatCode="00000"/>
    <numFmt numFmtId="170" formatCode="\(0\)"/>
    <numFmt numFmtId="171" formatCode="0_);\(0\)"/>
    <numFmt numFmtId="172" formatCode="dd/mm/yyyy;@"/>
    <numFmt numFmtId="173" formatCode="B1mmm/yy"/>
    <numFmt numFmtId="174" formatCode="#,##0.000000000000"/>
    <numFmt numFmtId="175" formatCode="0.0000000000000_);\(0.0000000000000\)"/>
    <numFmt numFmtId="176" formatCode="0.000000000000_);\(0.000000000000\)"/>
    <numFmt numFmtId="177" formatCode="0.00000000000"/>
    <numFmt numFmtId="178" formatCode="_(* #,##0.000000_);_(* \(#,##0.000000\);_(* &quot;-&quot;??_);_(@_)"/>
    <numFmt numFmtId="179" formatCode="0E+00"/>
    <numFmt numFmtId="180" formatCode="0.00000"/>
  </numFmts>
  <fonts count="18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Arial"/>
      <family val="2"/>
    </font>
    <font>
      <sz val="9"/>
      <name val="Arial"/>
      <family val="2"/>
    </font>
    <font>
      <sz val="8"/>
      <color indexed="8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  <font>
      <sz val="9"/>
      <color indexed="8"/>
      <name val="Times New Roman"/>
      <family val="1"/>
    </font>
    <font>
      <b/>
      <sz val="8"/>
      <color indexed="8"/>
      <name val="Times New Roman"/>
      <family val="1"/>
    </font>
    <font>
      <sz val="6"/>
      <color indexed="8"/>
      <name val="Times New Roman"/>
      <family val="1"/>
    </font>
    <font>
      <sz val="7"/>
      <color indexed="8"/>
      <name val="Times New Roman"/>
      <family val="1"/>
    </font>
    <font>
      <b/>
      <sz val="7"/>
      <color indexed="8"/>
      <name val="Times New Roman"/>
      <family val="1"/>
    </font>
    <font>
      <b/>
      <sz val="12"/>
      <name val="Times New Roman"/>
      <family val="1"/>
    </font>
    <font>
      <b/>
      <sz val="10"/>
      <color indexed="18"/>
      <name val="Times New Roman"/>
      <family val="1"/>
    </font>
    <font>
      <b/>
      <sz val="8"/>
      <name val="Times New Roman"/>
      <family val="1"/>
    </font>
    <font>
      <b/>
      <sz val="6.5"/>
      <name val="Times New Roman"/>
      <family val="1"/>
    </font>
    <font>
      <sz val="6.5"/>
      <name val="Times New Roman"/>
      <family val="1"/>
    </font>
    <font>
      <b/>
      <sz val="6.5"/>
      <color indexed="8"/>
      <name val="Times New Roman"/>
      <family val="1"/>
    </font>
    <font>
      <sz val="6.5"/>
      <color indexed="8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6"/>
      <name val="Times New Roman"/>
      <family val="1"/>
    </font>
    <font>
      <b/>
      <sz val="7"/>
      <name val="Times New Roman"/>
      <family val="1"/>
    </font>
    <font>
      <vertAlign val="subscript"/>
      <sz val="7"/>
      <name val="Times New Roman"/>
      <family val="1"/>
    </font>
    <font>
      <b/>
      <sz val="10.5"/>
      <color indexed="8"/>
      <name val="Times New Roman"/>
      <family val="1"/>
    </font>
    <font>
      <sz val="10.5"/>
      <color indexed="8"/>
      <name val="Times New Roman"/>
      <family val="1"/>
    </font>
    <font>
      <sz val="7.5"/>
      <name val="Times New Roman"/>
      <family val="1"/>
    </font>
    <font>
      <b/>
      <sz val="7.5"/>
      <name val="Times New Roman"/>
      <family val="1"/>
    </font>
    <font>
      <sz val="7.5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name val="Arial"/>
      <family val="2"/>
    </font>
    <font>
      <b/>
      <sz val="8"/>
      <color indexed="18"/>
      <name val="Times New Roman"/>
      <family val="1"/>
    </font>
    <font>
      <sz val="8"/>
      <color indexed="18"/>
      <name val="Times New Roman"/>
      <family val="1"/>
    </font>
    <font>
      <b/>
      <sz val="11"/>
      <name val="Times New Roman"/>
      <family val="1"/>
    </font>
    <font>
      <sz val="8.5"/>
      <name val="Times New Roman"/>
      <family val="1"/>
    </font>
    <font>
      <b/>
      <sz val="6"/>
      <name val="Times New Roman"/>
      <family val="1"/>
    </font>
    <font>
      <vertAlign val="superscript"/>
      <sz val="6.5"/>
      <color indexed="8"/>
      <name val="Times New Roman"/>
      <family val="1"/>
    </font>
    <font>
      <b/>
      <sz val="7.5"/>
      <name val="Arial Narrow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sz val="8.5"/>
      <color indexed="8"/>
      <name val="Times New Roman"/>
      <family val="1"/>
    </font>
    <font>
      <sz val="8"/>
      <name val="Arial"/>
      <family val="2"/>
    </font>
    <font>
      <sz val="9"/>
      <color indexed="8"/>
      <name val="Arial Narrow"/>
      <family val="2"/>
    </font>
    <font>
      <vertAlign val="superscript"/>
      <sz val="9"/>
      <color indexed="8"/>
      <name val="Times New Roman"/>
      <family val="1"/>
    </font>
    <font>
      <sz val="5"/>
      <color indexed="8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sz val="6"/>
      <color indexed="8"/>
      <name val="Times New Roman"/>
      <family val="1"/>
    </font>
    <font>
      <sz val="5"/>
      <name val="Times New Roman"/>
      <family val="1"/>
    </font>
    <font>
      <b/>
      <sz val="16"/>
      <name val="Arial"/>
      <family val="2"/>
    </font>
    <font>
      <sz val="11"/>
      <name val="Arial"/>
      <family val="2"/>
    </font>
    <font>
      <sz val="52"/>
      <name val="Arial"/>
      <family val="2"/>
    </font>
    <font>
      <sz val="7"/>
      <name val="Arial"/>
      <family val="2"/>
    </font>
    <font>
      <b/>
      <sz val="7.5"/>
      <color indexed="8"/>
      <name val="Times New Roman"/>
      <family val="1"/>
    </font>
    <font>
      <b/>
      <sz val="20"/>
      <name val="Times New Roman"/>
      <family val="1"/>
    </font>
    <font>
      <sz val="16"/>
      <name val="Arial"/>
      <family val="2"/>
    </font>
    <font>
      <sz val="22"/>
      <name val="Times New Roman"/>
      <family val="1"/>
    </font>
    <font>
      <b/>
      <sz val="10"/>
      <name val="Arial"/>
      <family val="2"/>
    </font>
    <font>
      <b/>
      <sz val="18"/>
      <name val="Times New Roman"/>
      <family val="1"/>
    </font>
    <font>
      <sz val="8"/>
      <color indexed="8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7.5"/>
      <color indexed="8"/>
      <name val="Arial Narrow"/>
      <family val="2"/>
    </font>
    <font>
      <b/>
      <sz val="10.5"/>
      <color indexed="8"/>
      <name val="Arial Narrow"/>
      <family val="2"/>
    </font>
    <font>
      <b/>
      <sz val="6.5"/>
      <name val="Arial Narrow"/>
      <family val="2"/>
    </font>
    <font>
      <sz val="6.5"/>
      <name val="Arial Narrow"/>
      <family val="2"/>
    </font>
    <font>
      <b/>
      <sz val="8"/>
      <color indexed="8"/>
      <name val="Arial Narrow"/>
      <family val="2"/>
    </font>
    <font>
      <sz val="5.5"/>
      <name val="Times New Roman"/>
      <family val="1"/>
    </font>
    <font>
      <b/>
      <sz val="5.5"/>
      <name val="Times New Roman"/>
      <family val="1"/>
    </font>
    <font>
      <sz val="7"/>
      <color indexed="8"/>
      <name val="Arial Narrow"/>
      <family val="2"/>
    </font>
    <font>
      <b/>
      <vertAlign val="superscript"/>
      <sz val="9"/>
      <color indexed="8"/>
      <name val="Times New Roman"/>
      <family val="1"/>
    </font>
    <font>
      <b/>
      <sz val="8.5"/>
      <color indexed="8"/>
      <name val="Arial Narrow"/>
      <family val="2"/>
    </font>
    <font>
      <b/>
      <vertAlign val="superscript"/>
      <sz val="8.5"/>
      <color indexed="8"/>
      <name val="Arial Narrow"/>
      <family val="2"/>
    </font>
    <font>
      <b/>
      <vertAlign val="superscript"/>
      <sz val="8"/>
      <color indexed="8"/>
      <name val="Times New Roman"/>
      <family val="1"/>
    </font>
    <font>
      <b/>
      <sz val="8.25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u/>
      <sz val="8"/>
      <color rgb="FF800080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u/>
      <sz val="8"/>
      <color rgb="FF0000FF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7"/>
      <color rgb="FF000000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scheme val="minor"/>
    </font>
    <font>
      <b/>
      <sz val="16"/>
      <color theme="0"/>
      <name val="Arial"/>
      <family val="2"/>
    </font>
    <font>
      <sz val="8"/>
      <color rgb="FFFF0000"/>
      <name val="Times New Roman"/>
      <family val="1"/>
    </font>
    <font>
      <sz val="7"/>
      <color rgb="FFFF0000"/>
      <name val="Times New Roman"/>
      <family val="1"/>
    </font>
    <font>
      <sz val="7.5"/>
      <color rgb="FFFF0000"/>
      <name val="Times New Roman"/>
      <family val="1"/>
    </font>
    <font>
      <sz val="6.25"/>
      <color rgb="FFFF0000"/>
      <name val="Arial Narrow"/>
      <family val="2"/>
    </font>
    <font>
      <sz val="6"/>
      <color rgb="FFFF0000"/>
      <name val="Arial Narrow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6.5"/>
      <color theme="1"/>
      <name val="Times New Roman"/>
      <family val="1"/>
    </font>
    <font>
      <sz val="6"/>
      <color theme="1"/>
      <name val="Times New Roman"/>
      <family val="1"/>
    </font>
    <font>
      <sz val="7.5"/>
      <color theme="1"/>
      <name val="Times New Roman"/>
      <family val="1"/>
    </font>
    <font>
      <b/>
      <sz val="7"/>
      <color theme="1"/>
      <name val="Arial Narrow"/>
      <family val="2"/>
    </font>
    <font>
      <sz val="7"/>
      <color theme="1"/>
      <name val="Arial Narrow"/>
      <family val="2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Arial"/>
      <family val="2"/>
    </font>
    <font>
      <sz val="8"/>
      <color rgb="FF000066"/>
      <name val="Times New Roman"/>
      <family val="1"/>
    </font>
    <font>
      <b/>
      <sz val="7.5"/>
      <color theme="1"/>
      <name val="Times New Roman"/>
      <family val="1"/>
    </font>
    <font>
      <b/>
      <sz val="52"/>
      <color theme="0"/>
      <name val="Arial"/>
      <family val="2"/>
    </font>
    <font>
      <b/>
      <sz val="36"/>
      <color theme="0"/>
      <name val="Arial Narrow"/>
      <family val="2"/>
    </font>
    <font>
      <sz val="6"/>
      <color rgb="FF000000"/>
      <name val="Times New Roman"/>
      <family val="1"/>
    </font>
    <font>
      <b/>
      <sz val="7.5"/>
      <color theme="1"/>
      <name val="Arial Narrow"/>
      <family val="2"/>
    </font>
    <font>
      <sz val="8.5"/>
      <color theme="1"/>
      <name val="Times New Roman"/>
      <family val="1"/>
    </font>
    <font>
      <b/>
      <sz val="12"/>
      <color indexed="18"/>
      <name val="Times New Roman"/>
      <family val="1"/>
    </font>
    <font>
      <sz val="12"/>
      <color indexed="18"/>
      <name val="Times New Roman"/>
      <family val="1"/>
    </font>
    <font>
      <sz val="11"/>
      <name val="Times New Roman"/>
      <family val="1"/>
    </font>
    <font>
      <b/>
      <vertAlign val="superscript"/>
      <sz val="10"/>
      <name val="Times New Roman"/>
      <family val="1"/>
    </font>
    <font>
      <vertAlign val="superscript"/>
      <sz val="9"/>
      <name val="Times New Roman"/>
      <family val="1"/>
    </font>
    <font>
      <vertAlign val="superscript"/>
      <sz val="8"/>
      <name val="Times New Roman"/>
      <family val="1"/>
    </font>
    <font>
      <b/>
      <vertAlign val="superscript"/>
      <sz val="8"/>
      <name val="Times New Roman"/>
      <family val="1"/>
    </font>
    <font>
      <b/>
      <vertAlign val="superscript"/>
      <sz val="8"/>
      <color indexed="8"/>
      <name val="Arial Narrow"/>
      <family val="2"/>
    </font>
    <font>
      <b/>
      <sz val="14"/>
      <name val="Sylfaen"/>
      <family val="1"/>
    </font>
    <font>
      <sz val="10"/>
      <name val="Sylfaen"/>
      <family val="1"/>
    </font>
    <font>
      <sz val="12"/>
      <name val="Sylfaen"/>
      <family val="1"/>
    </font>
    <font>
      <b/>
      <sz val="12"/>
      <name val="Sylfaen"/>
      <family val="1"/>
    </font>
    <font>
      <sz val="14"/>
      <name val="Sylfaen"/>
      <family val="1"/>
    </font>
    <font>
      <b/>
      <sz val="18"/>
      <name val="Arial"/>
      <family val="2"/>
    </font>
    <font>
      <sz val="16"/>
      <name val="Sylfaen"/>
      <family val="1"/>
    </font>
    <font>
      <b/>
      <sz val="16"/>
      <name val="Sylfaen"/>
      <family val="1"/>
    </font>
    <font>
      <b/>
      <sz val="13"/>
      <name val="Sylfaen"/>
      <family val="1"/>
    </font>
    <font>
      <sz val="13"/>
      <name val="Sylfaen"/>
      <family val="1"/>
    </font>
    <font>
      <sz val="18"/>
      <name val="Sylfaen"/>
      <family val="1"/>
    </font>
    <font>
      <b/>
      <sz val="18"/>
      <name val="Sylfaen"/>
      <family val="1"/>
    </font>
    <font>
      <b/>
      <sz val="14"/>
      <color indexed="8"/>
      <name val="Times New Roman"/>
      <family val="1"/>
    </font>
    <font>
      <sz val="11"/>
      <color theme="1"/>
      <name val="Times New Roman"/>
      <family val="1"/>
    </font>
    <font>
      <b/>
      <sz val="16"/>
      <color indexed="8"/>
      <name val="Calibri"/>
      <family val="2"/>
      <scheme val="minor"/>
    </font>
    <font>
      <b/>
      <sz val="8.5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sz val="8"/>
      <color rgb="FF000000"/>
      <name val="Arial"/>
      <family val="2"/>
    </font>
    <font>
      <b/>
      <sz val="10"/>
      <color rgb="FFFFFFFF"/>
      <name val="Times New Roman"/>
      <family val="1"/>
    </font>
    <font>
      <b/>
      <sz val="8"/>
      <color rgb="FF000000"/>
      <name val="Arial"/>
      <family val="2"/>
    </font>
    <font>
      <sz val="8"/>
      <color theme="1" tint="0.14999847407452621"/>
      <name val="Times New Roman"/>
      <family val="1"/>
    </font>
    <font>
      <b/>
      <sz val="8"/>
      <color rgb="FFFFFFFF"/>
      <name val="Times New Roman"/>
      <family val="1"/>
    </font>
    <font>
      <u/>
      <sz val="10"/>
      <color rgb="FF0000FF"/>
      <name val="Arial"/>
      <family val="2"/>
    </font>
    <font>
      <b/>
      <sz val="10"/>
      <color indexed="8"/>
      <name val="Arial Narrow"/>
      <family val="2"/>
    </font>
    <font>
      <sz val="12"/>
      <color theme="1"/>
      <name val="Times New Roman"/>
      <family val="1"/>
    </font>
    <font>
      <b/>
      <sz val="6.5"/>
      <color theme="1"/>
      <name val="Arial Narrow"/>
      <family val="2"/>
    </font>
    <font>
      <vertAlign val="superscript"/>
      <sz val="8"/>
      <color indexed="8"/>
      <name val="Times New Roman"/>
      <family val="1"/>
    </font>
    <font>
      <sz val="8"/>
      <name val="Arial"/>
      <family val="1"/>
    </font>
    <font>
      <vertAlign val="superscript"/>
      <sz val="7.5"/>
      <color indexed="8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D7D7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33">
    <xf numFmtId="0" fontId="0" fillId="0" borderId="0"/>
    <xf numFmtId="0" fontId="92" fillId="3" borderId="0" applyNumberFormat="0" applyBorder="0" applyAlignment="0" applyProtection="0"/>
    <xf numFmtId="0" fontId="92" fillId="3" borderId="0" applyNumberFormat="0" applyBorder="0" applyAlignment="0" applyProtection="0"/>
    <xf numFmtId="0" fontId="92" fillId="3" borderId="0" applyNumberFormat="0" applyBorder="0" applyAlignment="0" applyProtection="0"/>
    <xf numFmtId="0" fontId="92" fillId="3" borderId="0" applyNumberFormat="0" applyBorder="0" applyAlignment="0" applyProtection="0"/>
    <xf numFmtId="0" fontId="92" fillId="3" borderId="0" applyNumberFormat="0" applyBorder="0" applyAlignment="0" applyProtection="0"/>
    <xf numFmtId="0" fontId="92" fillId="4" borderId="0" applyNumberFormat="0" applyBorder="0" applyAlignment="0" applyProtection="0"/>
    <xf numFmtId="0" fontId="92" fillId="4" borderId="0" applyNumberFormat="0" applyBorder="0" applyAlignment="0" applyProtection="0"/>
    <xf numFmtId="0" fontId="92" fillId="4" borderId="0" applyNumberFormat="0" applyBorder="0" applyAlignment="0" applyProtection="0"/>
    <xf numFmtId="0" fontId="92" fillId="4" borderId="0" applyNumberFormat="0" applyBorder="0" applyAlignment="0" applyProtection="0"/>
    <xf numFmtId="0" fontId="92" fillId="4" borderId="0" applyNumberFormat="0" applyBorder="0" applyAlignment="0" applyProtection="0"/>
    <xf numFmtId="0" fontId="92" fillId="5" borderId="0" applyNumberFormat="0" applyBorder="0" applyAlignment="0" applyProtection="0"/>
    <xf numFmtId="0" fontId="92" fillId="5" borderId="0" applyNumberFormat="0" applyBorder="0" applyAlignment="0" applyProtection="0"/>
    <xf numFmtId="0" fontId="92" fillId="5" borderId="0" applyNumberFormat="0" applyBorder="0" applyAlignment="0" applyProtection="0"/>
    <xf numFmtId="0" fontId="92" fillId="5" borderId="0" applyNumberFormat="0" applyBorder="0" applyAlignment="0" applyProtection="0"/>
    <xf numFmtId="0" fontId="92" fillId="5" borderId="0" applyNumberFormat="0" applyBorder="0" applyAlignment="0" applyProtection="0"/>
    <xf numFmtId="0" fontId="92" fillId="6" borderId="0" applyNumberFormat="0" applyBorder="0" applyAlignment="0" applyProtection="0"/>
    <xf numFmtId="0" fontId="92" fillId="6" borderId="0" applyNumberFormat="0" applyBorder="0" applyAlignment="0" applyProtection="0"/>
    <xf numFmtId="0" fontId="92" fillId="6" borderId="0" applyNumberFormat="0" applyBorder="0" applyAlignment="0" applyProtection="0"/>
    <xf numFmtId="0" fontId="92" fillId="6" borderId="0" applyNumberFormat="0" applyBorder="0" applyAlignment="0" applyProtection="0"/>
    <xf numFmtId="0" fontId="92" fillId="6" borderId="0" applyNumberFormat="0" applyBorder="0" applyAlignment="0" applyProtection="0"/>
    <xf numFmtId="0" fontId="92" fillId="7" borderId="0" applyNumberFormat="0" applyBorder="0" applyAlignment="0" applyProtection="0"/>
    <xf numFmtId="0" fontId="92" fillId="7" borderId="0" applyNumberFormat="0" applyBorder="0" applyAlignment="0" applyProtection="0"/>
    <xf numFmtId="0" fontId="92" fillId="7" borderId="0" applyNumberFormat="0" applyBorder="0" applyAlignment="0" applyProtection="0"/>
    <xf numFmtId="0" fontId="92" fillId="7" borderId="0" applyNumberFormat="0" applyBorder="0" applyAlignment="0" applyProtection="0"/>
    <xf numFmtId="0" fontId="92" fillId="7" borderId="0" applyNumberFormat="0" applyBorder="0" applyAlignment="0" applyProtection="0"/>
    <xf numFmtId="0" fontId="92" fillId="8" borderId="0" applyNumberFormat="0" applyBorder="0" applyAlignment="0" applyProtection="0"/>
    <xf numFmtId="0" fontId="92" fillId="8" borderId="0" applyNumberFormat="0" applyBorder="0" applyAlignment="0" applyProtection="0"/>
    <xf numFmtId="0" fontId="92" fillId="8" borderId="0" applyNumberFormat="0" applyBorder="0" applyAlignment="0" applyProtection="0"/>
    <xf numFmtId="0" fontId="92" fillId="8" borderId="0" applyNumberFormat="0" applyBorder="0" applyAlignment="0" applyProtection="0"/>
    <xf numFmtId="0" fontId="92" fillId="8" borderId="0" applyNumberFormat="0" applyBorder="0" applyAlignment="0" applyProtection="0"/>
    <xf numFmtId="0" fontId="92" fillId="9" borderId="0" applyNumberFormat="0" applyBorder="0" applyAlignment="0" applyProtection="0"/>
    <xf numFmtId="0" fontId="92" fillId="9" borderId="0" applyNumberFormat="0" applyBorder="0" applyAlignment="0" applyProtection="0"/>
    <xf numFmtId="0" fontId="92" fillId="9" borderId="0" applyNumberFormat="0" applyBorder="0" applyAlignment="0" applyProtection="0"/>
    <xf numFmtId="0" fontId="92" fillId="9" borderId="0" applyNumberFormat="0" applyBorder="0" applyAlignment="0" applyProtection="0"/>
    <xf numFmtId="0" fontId="92" fillId="9" borderId="0" applyNumberFormat="0" applyBorder="0" applyAlignment="0" applyProtection="0"/>
    <xf numFmtId="0" fontId="92" fillId="10" borderId="0" applyNumberFormat="0" applyBorder="0" applyAlignment="0" applyProtection="0"/>
    <xf numFmtId="0" fontId="92" fillId="10" borderId="0" applyNumberFormat="0" applyBorder="0" applyAlignment="0" applyProtection="0"/>
    <xf numFmtId="0" fontId="92" fillId="10" borderId="0" applyNumberFormat="0" applyBorder="0" applyAlignment="0" applyProtection="0"/>
    <xf numFmtId="0" fontId="92" fillId="10" borderId="0" applyNumberFormat="0" applyBorder="0" applyAlignment="0" applyProtection="0"/>
    <xf numFmtId="0" fontId="92" fillId="10" borderId="0" applyNumberFormat="0" applyBorder="0" applyAlignment="0" applyProtection="0"/>
    <xf numFmtId="0" fontId="92" fillId="11" borderId="0" applyNumberFormat="0" applyBorder="0" applyAlignment="0" applyProtection="0"/>
    <xf numFmtId="0" fontId="92" fillId="11" borderId="0" applyNumberFormat="0" applyBorder="0" applyAlignment="0" applyProtection="0"/>
    <xf numFmtId="0" fontId="92" fillId="11" borderId="0" applyNumberFormat="0" applyBorder="0" applyAlignment="0" applyProtection="0"/>
    <xf numFmtId="0" fontId="92" fillId="11" borderId="0" applyNumberFormat="0" applyBorder="0" applyAlignment="0" applyProtection="0"/>
    <xf numFmtId="0" fontId="92" fillId="11" borderId="0" applyNumberFormat="0" applyBorder="0" applyAlignment="0" applyProtection="0"/>
    <xf numFmtId="0" fontId="92" fillId="12" borderId="0" applyNumberFormat="0" applyBorder="0" applyAlignment="0" applyProtection="0"/>
    <xf numFmtId="0" fontId="92" fillId="12" borderId="0" applyNumberFormat="0" applyBorder="0" applyAlignment="0" applyProtection="0"/>
    <xf numFmtId="0" fontId="92" fillId="12" borderId="0" applyNumberFormat="0" applyBorder="0" applyAlignment="0" applyProtection="0"/>
    <xf numFmtId="0" fontId="92" fillId="12" borderId="0" applyNumberFormat="0" applyBorder="0" applyAlignment="0" applyProtection="0"/>
    <xf numFmtId="0" fontId="92" fillId="12" borderId="0" applyNumberFormat="0" applyBorder="0" applyAlignment="0" applyProtection="0"/>
    <xf numFmtId="0" fontId="92" fillId="13" borderId="0" applyNumberFormat="0" applyBorder="0" applyAlignment="0" applyProtection="0"/>
    <xf numFmtId="0" fontId="92" fillId="13" borderId="0" applyNumberFormat="0" applyBorder="0" applyAlignment="0" applyProtection="0"/>
    <xf numFmtId="0" fontId="92" fillId="13" borderId="0" applyNumberFormat="0" applyBorder="0" applyAlignment="0" applyProtection="0"/>
    <xf numFmtId="0" fontId="92" fillId="13" borderId="0" applyNumberFormat="0" applyBorder="0" applyAlignment="0" applyProtection="0"/>
    <xf numFmtId="0" fontId="92" fillId="13" borderId="0" applyNumberFormat="0" applyBorder="0" applyAlignment="0" applyProtection="0"/>
    <xf numFmtId="0" fontId="92" fillId="14" borderId="0" applyNumberFormat="0" applyBorder="0" applyAlignment="0" applyProtection="0"/>
    <xf numFmtId="0" fontId="92" fillId="14" borderId="0" applyNumberFormat="0" applyBorder="0" applyAlignment="0" applyProtection="0"/>
    <xf numFmtId="0" fontId="92" fillId="14" borderId="0" applyNumberFormat="0" applyBorder="0" applyAlignment="0" applyProtection="0"/>
    <xf numFmtId="0" fontId="92" fillId="14" borderId="0" applyNumberFormat="0" applyBorder="0" applyAlignment="0" applyProtection="0"/>
    <xf numFmtId="0" fontId="92" fillId="14" borderId="0" applyNumberFormat="0" applyBorder="0" applyAlignment="0" applyProtection="0"/>
    <xf numFmtId="0" fontId="93" fillId="15" borderId="0" applyNumberFormat="0" applyBorder="0" applyAlignment="0" applyProtection="0"/>
    <xf numFmtId="0" fontId="93" fillId="15" borderId="0" applyNumberFormat="0" applyBorder="0" applyAlignment="0" applyProtection="0"/>
    <xf numFmtId="0" fontId="93" fillId="15" borderId="0" applyNumberFormat="0" applyBorder="0" applyAlignment="0" applyProtection="0"/>
    <xf numFmtId="0" fontId="93" fillId="15" borderId="0" applyNumberFormat="0" applyBorder="0" applyAlignment="0" applyProtection="0"/>
    <xf numFmtId="0" fontId="93" fillId="15" borderId="0" applyNumberFormat="0" applyBorder="0" applyAlignment="0" applyProtection="0"/>
    <xf numFmtId="0" fontId="93" fillId="16" borderId="0" applyNumberFormat="0" applyBorder="0" applyAlignment="0" applyProtection="0"/>
    <xf numFmtId="0" fontId="93" fillId="16" borderId="0" applyNumberFormat="0" applyBorder="0" applyAlignment="0" applyProtection="0"/>
    <xf numFmtId="0" fontId="93" fillId="16" borderId="0" applyNumberFormat="0" applyBorder="0" applyAlignment="0" applyProtection="0"/>
    <xf numFmtId="0" fontId="93" fillId="16" borderId="0" applyNumberFormat="0" applyBorder="0" applyAlignment="0" applyProtection="0"/>
    <xf numFmtId="0" fontId="93" fillId="16" borderId="0" applyNumberFormat="0" applyBorder="0" applyAlignment="0" applyProtection="0"/>
    <xf numFmtId="0" fontId="93" fillId="17" borderId="0" applyNumberFormat="0" applyBorder="0" applyAlignment="0" applyProtection="0"/>
    <xf numFmtId="0" fontId="93" fillId="17" borderId="0" applyNumberFormat="0" applyBorder="0" applyAlignment="0" applyProtection="0"/>
    <xf numFmtId="0" fontId="93" fillId="17" borderId="0" applyNumberFormat="0" applyBorder="0" applyAlignment="0" applyProtection="0"/>
    <xf numFmtId="0" fontId="93" fillId="17" borderId="0" applyNumberFormat="0" applyBorder="0" applyAlignment="0" applyProtection="0"/>
    <xf numFmtId="0" fontId="93" fillId="17" borderId="0" applyNumberFormat="0" applyBorder="0" applyAlignment="0" applyProtection="0"/>
    <xf numFmtId="0" fontId="93" fillId="18" borderId="0" applyNumberFormat="0" applyBorder="0" applyAlignment="0" applyProtection="0"/>
    <xf numFmtId="0" fontId="93" fillId="18" borderId="0" applyNumberFormat="0" applyBorder="0" applyAlignment="0" applyProtection="0"/>
    <xf numFmtId="0" fontId="93" fillId="18" borderId="0" applyNumberFormat="0" applyBorder="0" applyAlignment="0" applyProtection="0"/>
    <xf numFmtId="0" fontId="93" fillId="18" borderId="0" applyNumberFormat="0" applyBorder="0" applyAlignment="0" applyProtection="0"/>
    <xf numFmtId="0" fontId="93" fillId="18" borderId="0" applyNumberFormat="0" applyBorder="0" applyAlignment="0" applyProtection="0"/>
    <xf numFmtId="0" fontId="93" fillId="19" borderId="0" applyNumberFormat="0" applyBorder="0" applyAlignment="0" applyProtection="0"/>
    <xf numFmtId="0" fontId="93" fillId="19" borderId="0" applyNumberFormat="0" applyBorder="0" applyAlignment="0" applyProtection="0"/>
    <xf numFmtId="0" fontId="93" fillId="19" borderId="0" applyNumberFormat="0" applyBorder="0" applyAlignment="0" applyProtection="0"/>
    <xf numFmtId="0" fontId="93" fillId="19" borderId="0" applyNumberFormat="0" applyBorder="0" applyAlignment="0" applyProtection="0"/>
    <xf numFmtId="0" fontId="93" fillId="19" borderId="0" applyNumberFormat="0" applyBorder="0" applyAlignment="0" applyProtection="0"/>
    <xf numFmtId="0" fontId="93" fillId="20" borderId="0" applyNumberFormat="0" applyBorder="0" applyAlignment="0" applyProtection="0"/>
    <xf numFmtId="0" fontId="93" fillId="20" borderId="0" applyNumberFormat="0" applyBorder="0" applyAlignment="0" applyProtection="0"/>
    <xf numFmtId="0" fontId="93" fillId="20" borderId="0" applyNumberFormat="0" applyBorder="0" applyAlignment="0" applyProtection="0"/>
    <xf numFmtId="0" fontId="93" fillId="20" borderId="0" applyNumberFormat="0" applyBorder="0" applyAlignment="0" applyProtection="0"/>
    <xf numFmtId="0" fontId="93" fillId="20" borderId="0" applyNumberFormat="0" applyBorder="0" applyAlignment="0" applyProtection="0"/>
    <xf numFmtId="0" fontId="93" fillId="21" borderId="0" applyNumberFormat="0" applyBorder="0" applyAlignment="0" applyProtection="0"/>
    <xf numFmtId="0" fontId="93" fillId="21" borderId="0" applyNumberFormat="0" applyBorder="0" applyAlignment="0" applyProtection="0"/>
    <xf numFmtId="0" fontId="93" fillId="21" borderId="0" applyNumberFormat="0" applyBorder="0" applyAlignment="0" applyProtection="0"/>
    <xf numFmtId="0" fontId="93" fillId="21" borderId="0" applyNumberFormat="0" applyBorder="0" applyAlignment="0" applyProtection="0"/>
    <xf numFmtId="0" fontId="93" fillId="21" borderId="0" applyNumberFormat="0" applyBorder="0" applyAlignment="0" applyProtection="0"/>
    <xf numFmtId="0" fontId="93" fillId="22" borderId="0" applyNumberFormat="0" applyBorder="0" applyAlignment="0" applyProtection="0"/>
    <xf numFmtId="0" fontId="93" fillId="22" borderId="0" applyNumberFormat="0" applyBorder="0" applyAlignment="0" applyProtection="0"/>
    <xf numFmtId="0" fontId="93" fillId="22" borderId="0" applyNumberFormat="0" applyBorder="0" applyAlignment="0" applyProtection="0"/>
    <xf numFmtId="0" fontId="93" fillId="22" borderId="0" applyNumberFormat="0" applyBorder="0" applyAlignment="0" applyProtection="0"/>
    <xf numFmtId="0" fontId="93" fillId="22" borderId="0" applyNumberFormat="0" applyBorder="0" applyAlignment="0" applyProtection="0"/>
    <xf numFmtId="0" fontId="93" fillId="23" borderId="0" applyNumberFormat="0" applyBorder="0" applyAlignment="0" applyProtection="0"/>
    <xf numFmtId="0" fontId="93" fillId="23" borderId="0" applyNumberFormat="0" applyBorder="0" applyAlignment="0" applyProtection="0"/>
    <xf numFmtId="0" fontId="93" fillId="23" borderId="0" applyNumberFormat="0" applyBorder="0" applyAlignment="0" applyProtection="0"/>
    <xf numFmtId="0" fontId="93" fillId="23" borderId="0" applyNumberFormat="0" applyBorder="0" applyAlignment="0" applyProtection="0"/>
    <xf numFmtId="0" fontId="93" fillId="23" borderId="0" applyNumberFormat="0" applyBorder="0" applyAlignment="0" applyProtection="0"/>
    <xf numFmtId="0" fontId="93" fillId="24" borderId="0" applyNumberFormat="0" applyBorder="0" applyAlignment="0" applyProtection="0"/>
    <xf numFmtId="0" fontId="93" fillId="24" borderId="0" applyNumberFormat="0" applyBorder="0" applyAlignment="0" applyProtection="0"/>
    <xf numFmtId="0" fontId="93" fillId="24" borderId="0" applyNumberFormat="0" applyBorder="0" applyAlignment="0" applyProtection="0"/>
    <xf numFmtId="0" fontId="93" fillId="24" borderId="0" applyNumberFormat="0" applyBorder="0" applyAlignment="0" applyProtection="0"/>
    <xf numFmtId="0" fontId="93" fillId="24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6" borderId="0" applyNumberFormat="0" applyBorder="0" applyAlignment="0" applyProtection="0"/>
    <xf numFmtId="0" fontId="93" fillId="26" borderId="0" applyNumberFormat="0" applyBorder="0" applyAlignment="0" applyProtection="0"/>
    <xf numFmtId="0" fontId="93" fillId="26" borderId="0" applyNumberFormat="0" applyBorder="0" applyAlignment="0" applyProtection="0"/>
    <xf numFmtId="0" fontId="93" fillId="26" borderId="0" applyNumberFormat="0" applyBorder="0" applyAlignment="0" applyProtection="0"/>
    <xf numFmtId="0" fontId="93" fillId="26" borderId="0" applyNumberFormat="0" applyBorder="0" applyAlignment="0" applyProtection="0"/>
    <xf numFmtId="0" fontId="94" fillId="27" borderId="0" applyNumberFormat="0" applyBorder="0" applyAlignment="0" applyProtection="0"/>
    <xf numFmtId="0" fontId="94" fillId="27" borderId="0" applyNumberFormat="0" applyBorder="0" applyAlignment="0" applyProtection="0"/>
    <xf numFmtId="0" fontId="94" fillId="27" borderId="0" applyNumberFormat="0" applyBorder="0" applyAlignment="0" applyProtection="0"/>
    <xf numFmtId="0" fontId="94" fillId="27" borderId="0" applyNumberFormat="0" applyBorder="0" applyAlignment="0" applyProtection="0"/>
    <xf numFmtId="0" fontId="94" fillId="27" borderId="0" applyNumberFormat="0" applyBorder="0" applyAlignment="0" applyProtection="0"/>
    <xf numFmtId="0" fontId="95" fillId="28" borderId="39" applyNumberFormat="0" applyAlignment="0" applyProtection="0"/>
    <xf numFmtId="0" fontId="95" fillId="28" borderId="39" applyNumberFormat="0" applyAlignment="0" applyProtection="0"/>
    <xf numFmtId="0" fontId="95" fillId="28" borderId="39" applyNumberFormat="0" applyAlignment="0" applyProtection="0"/>
    <xf numFmtId="0" fontId="95" fillId="28" borderId="39" applyNumberFormat="0" applyAlignment="0" applyProtection="0"/>
    <xf numFmtId="0" fontId="95" fillId="28" borderId="39" applyNumberFormat="0" applyAlignment="0" applyProtection="0"/>
    <xf numFmtId="0" fontId="96" fillId="29" borderId="40" applyNumberFormat="0" applyAlignment="0" applyProtection="0"/>
    <xf numFmtId="0" fontId="96" fillId="29" borderId="40" applyNumberFormat="0" applyAlignment="0" applyProtection="0"/>
    <xf numFmtId="0" fontId="96" fillId="29" borderId="40" applyNumberFormat="0" applyAlignment="0" applyProtection="0"/>
    <xf numFmtId="0" fontId="96" fillId="29" borderId="40" applyNumberFormat="0" applyAlignment="0" applyProtection="0"/>
    <xf numFmtId="0" fontId="96" fillId="29" borderId="40" applyNumberFormat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30" borderId="0" applyNumberFormat="0" applyBorder="0" applyAlignment="0" applyProtection="0"/>
    <xf numFmtId="0" fontId="99" fillId="30" borderId="0" applyNumberFormat="0" applyBorder="0" applyAlignment="0" applyProtection="0"/>
    <xf numFmtId="0" fontId="99" fillId="30" borderId="0" applyNumberFormat="0" applyBorder="0" applyAlignment="0" applyProtection="0"/>
    <xf numFmtId="0" fontId="99" fillId="30" borderId="0" applyNumberFormat="0" applyBorder="0" applyAlignment="0" applyProtection="0"/>
    <xf numFmtId="0" fontId="99" fillId="30" borderId="0" applyNumberFormat="0" applyBorder="0" applyAlignment="0" applyProtection="0"/>
    <xf numFmtId="0" fontId="100" fillId="0" borderId="41" applyNumberFormat="0" applyFill="0" applyAlignment="0" applyProtection="0"/>
    <xf numFmtId="0" fontId="100" fillId="0" borderId="41" applyNumberFormat="0" applyFill="0" applyAlignment="0" applyProtection="0"/>
    <xf numFmtId="0" fontId="100" fillId="0" borderId="41" applyNumberFormat="0" applyFill="0" applyAlignment="0" applyProtection="0"/>
    <xf numFmtId="0" fontId="100" fillId="0" borderId="41" applyNumberFormat="0" applyFill="0" applyAlignment="0" applyProtection="0"/>
    <xf numFmtId="0" fontId="100" fillId="0" borderId="41" applyNumberFormat="0" applyFill="0" applyAlignment="0" applyProtection="0"/>
    <xf numFmtId="0" fontId="101" fillId="0" borderId="42" applyNumberFormat="0" applyFill="0" applyAlignment="0" applyProtection="0"/>
    <xf numFmtId="0" fontId="101" fillId="0" borderId="42" applyNumberFormat="0" applyFill="0" applyAlignment="0" applyProtection="0"/>
    <xf numFmtId="0" fontId="101" fillId="0" borderId="42" applyNumberFormat="0" applyFill="0" applyAlignment="0" applyProtection="0"/>
    <xf numFmtId="0" fontId="101" fillId="0" borderId="42" applyNumberFormat="0" applyFill="0" applyAlignment="0" applyProtection="0"/>
    <xf numFmtId="0" fontId="101" fillId="0" borderId="42" applyNumberFormat="0" applyFill="0" applyAlignment="0" applyProtection="0"/>
    <xf numFmtId="0" fontId="102" fillId="0" borderId="43" applyNumberFormat="0" applyFill="0" applyAlignment="0" applyProtection="0"/>
    <xf numFmtId="0" fontId="102" fillId="0" borderId="43" applyNumberFormat="0" applyFill="0" applyAlignment="0" applyProtection="0"/>
    <xf numFmtId="0" fontId="102" fillId="0" borderId="43" applyNumberFormat="0" applyFill="0" applyAlignment="0" applyProtection="0"/>
    <xf numFmtId="0" fontId="102" fillId="0" borderId="43" applyNumberFormat="0" applyFill="0" applyAlignment="0" applyProtection="0"/>
    <xf numFmtId="0" fontId="102" fillId="0" borderId="43" applyNumberFormat="0" applyFill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31" borderId="39" applyNumberFormat="0" applyAlignment="0" applyProtection="0"/>
    <xf numFmtId="0" fontId="104" fillId="31" borderId="39" applyNumberFormat="0" applyAlignment="0" applyProtection="0"/>
    <xf numFmtId="0" fontId="104" fillId="31" borderId="39" applyNumberFormat="0" applyAlignment="0" applyProtection="0"/>
    <xf numFmtId="0" fontId="104" fillId="31" borderId="39" applyNumberFormat="0" applyAlignment="0" applyProtection="0"/>
    <xf numFmtId="0" fontId="104" fillId="31" borderId="39" applyNumberFormat="0" applyAlignment="0" applyProtection="0"/>
    <xf numFmtId="0" fontId="105" fillId="0" borderId="44" applyNumberFormat="0" applyFill="0" applyAlignment="0" applyProtection="0"/>
    <xf numFmtId="0" fontId="105" fillId="0" borderId="44" applyNumberFormat="0" applyFill="0" applyAlignment="0" applyProtection="0"/>
    <xf numFmtId="0" fontId="105" fillId="0" borderId="44" applyNumberFormat="0" applyFill="0" applyAlignment="0" applyProtection="0"/>
    <xf numFmtId="0" fontId="105" fillId="0" borderId="44" applyNumberFormat="0" applyFill="0" applyAlignment="0" applyProtection="0"/>
    <xf numFmtId="0" fontId="105" fillId="0" borderId="44" applyNumberFormat="0" applyFill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91" fillId="0" borderId="0"/>
    <xf numFmtId="0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2" fillId="33" borderId="45" applyNumberFormat="0" applyFont="0" applyAlignment="0" applyProtection="0"/>
    <xf numFmtId="0" fontId="92" fillId="33" borderId="45" applyNumberFormat="0" applyFont="0" applyAlignment="0" applyProtection="0"/>
    <xf numFmtId="0" fontId="92" fillId="33" borderId="45" applyNumberFormat="0" applyFont="0" applyAlignment="0" applyProtection="0"/>
    <xf numFmtId="0" fontId="92" fillId="33" borderId="45" applyNumberFormat="0" applyFont="0" applyAlignment="0" applyProtection="0"/>
    <xf numFmtId="0" fontId="92" fillId="33" borderId="45" applyNumberFormat="0" applyFont="0" applyAlignment="0" applyProtection="0"/>
    <xf numFmtId="0" fontId="107" fillId="28" borderId="46" applyNumberFormat="0" applyAlignment="0" applyProtection="0"/>
    <xf numFmtId="0" fontId="107" fillId="28" borderId="46" applyNumberFormat="0" applyAlignment="0" applyProtection="0"/>
    <xf numFmtId="0" fontId="107" fillId="28" borderId="46" applyNumberFormat="0" applyAlignment="0" applyProtection="0"/>
    <xf numFmtId="0" fontId="107" fillId="28" borderId="46" applyNumberFormat="0" applyAlignment="0" applyProtection="0"/>
    <xf numFmtId="0" fontId="107" fillId="28" borderId="46" applyNumberFormat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47" applyNumberFormat="0" applyFill="0" applyAlignment="0" applyProtection="0"/>
    <xf numFmtId="0" fontId="109" fillId="0" borderId="47" applyNumberFormat="0" applyFill="0" applyAlignment="0" applyProtection="0"/>
    <xf numFmtId="0" fontId="109" fillId="0" borderId="47" applyNumberFormat="0" applyFill="0" applyAlignment="0" applyProtection="0"/>
    <xf numFmtId="0" fontId="109" fillId="0" borderId="47" applyNumberFormat="0" applyFill="0" applyAlignment="0" applyProtection="0"/>
    <xf numFmtId="0" fontId="109" fillId="0" borderId="47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" fillId="0" borderId="0"/>
  </cellStyleXfs>
  <cellXfs count="2301">
    <xf numFmtId="0" fontId="0" fillId="0" borderId="0" xfId="0"/>
    <xf numFmtId="0" fontId="4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/>
    <xf numFmtId="2" fontId="13" fillId="0" borderId="0" xfId="0" applyNumberFormat="1" applyFont="1" applyBorder="1"/>
    <xf numFmtId="0" fontId="14" fillId="0" borderId="0" xfId="0" applyFont="1" applyBorder="1" applyAlignment="1"/>
    <xf numFmtId="0" fontId="14" fillId="0" borderId="0" xfId="0" applyFont="1"/>
    <xf numFmtId="0" fontId="14" fillId="0" borderId="0" xfId="0" applyFont="1" applyBorder="1"/>
    <xf numFmtId="0" fontId="12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22" fillId="0" borderId="0" xfId="0" applyFont="1"/>
    <xf numFmtId="0" fontId="26" fillId="0" borderId="0" xfId="0" applyFont="1" applyAlignment="1">
      <alignment horizontal="left" wrapText="1"/>
    </xf>
    <xf numFmtId="0" fontId="24" fillId="0" borderId="0" xfId="0" applyFont="1"/>
    <xf numFmtId="2" fontId="12" fillId="0" borderId="0" xfId="0" applyNumberFormat="1" applyFont="1" applyBorder="1" applyAlignment="1">
      <alignment horizontal="center" wrapText="1"/>
    </xf>
    <xf numFmtId="2" fontId="12" fillId="0" borderId="0" xfId="0" applyNumberFormat="1" applyFont="1" applyFill="1" applyBorder="1" applyAlignment="1">
      <alignment horizontal="center" wrapText="1"/>
    </xf>
    <xf numFmtId="2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wrapText="1"/>
    </xf>
    <xf numFmtId="0" fontId="12" fillId="0" borderId="0" xfId="0" applyFont="1"/>
    <xf numFmtId="0" fontId="14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0" xfId="0" applyFont="1"/>
    <xf numFmtId="0" fontId="28" fillId="0" borderId="0" xfId="0" applyFont="1" applyBorder="1" applyAlignment="1">
      <alignment horizontal="center" wrapText="1"/>
    </xf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wrapText="1"/>
    </xf>
    <xf numFmtId="16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164" fontId="14" fillId="0" borderId="0" xfId="0" applyNumberFormat="1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26" fillId="0" borderId="0" xfId="0" applyFont="1"/>
    <xf numFmtId="0" fontId="13" fillId="0" borderId="0" xfId="0" applyFont="1"/>
    <xf numFmtId="0" fontId="18" fillId="0" borderId="0" xfId="0" applyFont="1" applyBorder="1" applyAlignment="1">
      <alignment wrapText="1"/>
    </xf>
    <xf numFmtId="0" fontId="32" fillId="0" borderId="0" xfId="0" applyFont="1"/>
    <xf numFmtId="0" fontId="32" fillId="0" borderId="0" xfId="0" applyFont="1" applyBorder="1"/>
    <xf numFmtId="0" fontId="14" fillId="0" borderId="2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33" fillId="0" borderId="0" xfId="0" applyFont="1" applyAlignment="1"/>
    <xf numFmtId="0" fontId="33" fillId="0" borderId="0" xfId="0" applyFont="1"/>
    <xf numFmtId="164" fontId="14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33" fillId="0" borderId="0" xfId="0" applyFont="1" applyBorder="1"/>
    <xf numFmtId="49" fontId="33" fillId="0" borderId="0" xfId="0" applyNumberFormat="1" applyFont="1" applyAlignment="1"/>
    <xf numFmtId="0" fontId="12" fillId="0" borderId="0" xfId="0" applyFont="1" applyBorder="1"/>
    <xf numFmtId="0" fontId="14" fillId="0" borderId="0" xfId="0" applyFont="1" applyAlignment="1">
      <alignment horizontal="right" wrapText="1"/>
    </xf>
    <xf numFmtId="0" fontId="22" fillId="0" borderId="2" xfId="0" applyFont="1" applyBorder="1" applyAlignment="1">
      <alignment horizontal="center" wrapText="1"/>
    </xf>
    <xf numFmtId="0" fontId="34" fillId="0" borderId="0" xfId="0" applyFont="1" applyBorder="1" applyAlignment="1">
      <alignment wrapText="1"/>
    </xf>
    <xf numFmtId="0" fontId="33" fillId="0" borderId="0" xfId="0" applyFont="1" applyBorder="1" applyAlignment="1">
      <alignment wrapText="1"/>
    </xf>
    <xf numFmtId="0" fontId="22" fillId="0" borderId="0" xfId="0" applyFont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0" fontId="29" fillId="0" borderId="0" xfId="0" applyFont="1" applyAlignment="1">
      <alignment vertical="center"/>
    </xf>
    <xf numFmtId="49" fontId="14" fillId="0" borderId="0" xfId="0" applyNumberFormat="1" applyFont="1"/>
    <xf numFmtId="0" fontId="30" fillId="0" borderId="0" xfId="0" applyFont="1" applyBorder="1" applyAlignment="1">
      <alignment wrapText="1"/>
    </xf>
    <xf numFmtId="0" fontId="13" fillId="0" borderId="0" xfId="0" applyFont="1" applyBorder="1" applyAlignment="1">
      <alignment horizontal="center"/>
    </xf>
    <xf numFmtId="0" fontId="18" fillId="0" borderId="0" xfId="0" applyFont="1" applyBorder="1"/>
    <xf numFmtId="0" fontId="16" fillId="0" borderId="0" xfId="0" applyFont="1" applyBorder="1"/>
    <xf numFmtId="0" fontId="13" fillId="0" borderId="0" xfId="0" applyFont="1" applyBorder="1" applyAlignment="1"/>
    <xf numFmtId="164" fontId="14" fillId="0" borderId="0" xfId="0" applyNumberFormat="1" applyFont="1" applyFill="1" applyBorder="1" applyAlignment="1">
      <alignment horizontal="center"/>
    </xf>
    <xf numFmtId="0" fontId="14" fillId="0" borderId="0" xfId="0" applyFont="1" applyAlignment="1"/>
    <xf numFmtId="0" fontId="29" fillId="0" borderId="0" xfId="0" applyFont="1" applyBorder="1"/>
    <xf numFmtId="0" fontId="18" fillId="0" borderId="2" xfId="0" applyFont="1" applyBorder="1" applyAlignment="1">
      <alignment horizontal="center" vertical="center" wrapText="1"/>
    </xf>
    <xf numFmtId="0" fontId="30" fillId="0" borderId="0" xfId="0" applyFont="1" applyBorder="1" applyAlignment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/>
    <xf numFmtId="0" fontId="15" fillId="0" borderId="0" xfId="0" applyFont="1" applyBorder="1"/>
    <xf numFmtId="0" fontId="12" fillId="0" borderId="0" xfId="0" applyFont="1" applyBorder="1" applyAlignment="1">
      <alignment horizontal="left"/>
    </xf>
    <xf numFmtId="0" fontId="18" fillId="0" borderId="0" xfId="0" applyFont="1" applyAlignment="1">
      <alignment vertical="center"/>
    </xf>
    <xf numFmtId="0" fontId="18" fillId="0" borderId="5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3" fillId="0" borderId="0" xfId="0" applyFont="1" applyBorder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 wrapText="1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28" fillId="0" borderId="0" xfId="0" applyFont="1" applyBorder="1" applyAlignment="1">
      <alignment wrapText="1"/>
    </xf>
    <xf numFmtId="0" fontId="2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37" fillId="0" borderId="0" xfId="0" applyFont="1"/>
    <xf numFmtId="0" fontId="16" fillId="0" borderId="0" xfId="0" applyFont="1" applyBorder="1" applyAlignment="1">
      <alignment wrapText="1"/>
    </xf>
    <xf numFmtId="0" fontId="12" fillId="0" borderId="0" xfId="0" applyFont="1" applyAlignment="1">
      <alignment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Border="1" applyAlignment="1">
      <alignment vertical="center"/>
    </xf>
    <xf numFmtId="0" fontId="38" fillId="0" borderId="0" xfId="0" applyFont="1"/>
    <xf numFmtId="0" fontId="13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2" fillId="0" borderId="2" xfId="0" applyFont="1" applyBorder="1" applyAlignment="1">
      <alignment wrapText="1"/>
    </xf>
    <xf numFmtId="2" fontId="14" fillId="0" borderId="0" xfId="0" applyNumberFormat="1" applyFont="1"/>
    <xf numFmtId="0" fontId="15" fillId="0" borderId="0" xfId="0" applyFont="1" applyAlignment="1">
      <alignment horizontal="center" vertical="center"/>
    </xf>
    <xf numFmtId="0" fontId="12" fillId="0" borderId="0" xfId="0" applyFont="1" applyBorder="1" applyAlignment="1"/>
    <xf numFmtId="0" fontId="15" fillId="0" borderId="0" xfId="0" applyFont="1" applyBorder="1" applyAlignment="1">
      <alignment wrapText="1"/>
    </xf>
    <xf numFmtId="0" fontId="15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16" fillId="0" borderId="0" xfId="0" applyFont="1" applyAlignment="1">
      <alignment wrapText="1"/>
    </xf>
    <xf numFmtId="49" fontId="29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5" fillId="0" borderId="0" xfId="0" applyFont="1" applyBorder="1" applyAlignment="1">
      <alignment horizontal="right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/>
    </xf>
    <xf numFmtId="49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49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42" fillId="0" borderId="0" xfId="0" applyFont="1"/>
    <xf numFmtId="0" fontId="29" fillId="0" borderId="0" xfId="0" applyFont="1" applyAlignment="1">
      <alignment wrapText="1"/>
    </xf>
    <xf numFmtId="0" fontId="8" fillId="0" borderId="0" xfId="0" applyFont="1" applyAlignment="1">
      <alignment vertical="center"/>
    </xf>
    <xf numFmtId="2" fontId="18" fillId="0" borderId="0" xfId="0" applyNumberFormat="1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right" wrapText="1"/>
    </xf>
    <xf numFmtId="0" fontId="33" fillId="0" borderId="0" xfId="0" applyFont="1" applyAlignment="1">
      <alignment horizontal="center"/>
    </xf>
    <xf numFmtId="2" fontId="17" fillId="0" borderId="0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14" fillId="0" borderId="0" xfId="0" applyFont="1" applyAlignment="1">
      <alignment horizontal="right"/>
    </xf>
    <xf numFmtId="0" fontId="8" fillId="0" borderId="1" xfId="0" applyFont="1" applyBorder="1" applyAlignment="1"/>
    <xf numFmtId="0" fontId="15" fillId="0" borderId="6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2" fontId="12" fillId="0" borderId="0" xfId="0" applyNumberFormat="1" applyFont="1" applyBorder="1" applyAlignment="1">
      <alignment horizontal="center" vertical="top" wrapText="1"/>
    </xf>
    <xf numFmtId="0" fontId="12" fillId="0" borderId="0" xfId="0" applyFont="1" applyBorder="1" applyAlignment="1">
      <alignment vertical="top" wrapText="1"/>
    </xf>
    <xf numFmtId="0" fontId="44" fillId="0" borderId="0" xfId="0" applyFont="1" applyBorder="1" applyAlignment="1">
      <alignment wrapText="1"/>
    </xf>
    <xf numFmtId="0" fontId="12" fillId="0" borderId="0" xfId="0" applyFont="1" applyBorder="1" applyAlignment="1">
      <alignment horizontal="center" vertical="top" wrapText="1"/>
    </xf>
    <xf numFmtId="0" fontId="16" fillId="0" borderId="0" xfId="0" applyFont="1" applyBorder="1" applyAlignment="1"/>
    <xf numFmtId="0" fontId="18" fillId="0" borderId="0" xfId="0" applyFont="1" applyBorder="1" applyAlignment="1">
      <alignment horizontal="center" vertical="top" wrapText="1"/>
    </xf>
    <xf numFmtId="0" fontId="12" fillId="0" borderId="0" xfId="0" applyFont="1" applyAlignment="1"/>
    <xf numFmtId="0" fontId="31" fillId="0" borderId="0" xfId="0" applyFont="1" applyBorder="1"/>
    <xf numFmtId="0" fontId="12" fillId="0" borderId="1" xfId="0" applyFont="1" applyBorder="1" applyAlignment="1">
      <alignment wrapText="1"/>
    </xf>
    <xf numFmtId="0" fontId="45" fillId="0" borderId="0" xfId="0" applyFont="1" applyBorder="1" applyAlignment="1">
      <alignment wrapText="1"/>
    </xf>
    <xf numFmtId="0" fontId="28" fillId="0" borderId="0" xfId="0" applyFont="1" applyBorder="1" applyAlignment="1">
      <alignment vertical="center"/>
    </xf>
    <xf numFmtId="0" fontId="32" fillId="0" borderId="0" xfId="0" applyFont="1" applyBorder="1" applyAlignment="1">
      <alignment horizontal="right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vertical="center" wrapText="1" indent="1"/>
    </xf>
    <xf numFmtId="0" fontId="29" fillId="0" borderId="0" xfId="0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18" fillId="0" borderId="2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0" fillId="0" borderId="0" xfId="0" applyFont="1" applyBorder="1"/>
    <xf numFmtId="0" fontId="28" fillId="0" borderId="0" xfId="0" applyFont="1" applyBorder="1" applyAlignment="1">
      <alignment horizontal="center" vertical="center"/>
    </xf>
    <xf numFmtId="0" fontId="19" fillId="0" borderId="0" xfId="0" applyFont="1" applyBorder="1"/>
    <xf numFmtId="0" fontId="34" fillId="0" borderId="2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48" fillId="0" borderId="0" xfId="0" applyFont="1" applyBorder="1" applyAlignment="1">
      <alignment wrapText="1"/>
    </xf>
    <xf numFmtId="49" fontId="33" fillId="0" borderId="0" xfId="0" applyNumberFormat="1" applyFont="1" applyBorder="1" applyAlignment="1">
      <alignment wrapText="1"/>
    </xf>
    <xf numFmtId="0" fontId="47" fillId="0" borderId="0" xfId="0" applyFont="1" applyBorder="1"/>
    <xf numFmtId="0" fontId="26" fillId="0" borderId="0" xfId="0" applyFont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9" fillId="0" borderId="0" xfId="0" applyFont="1" applyBorder="1" applyAlignment="1">
      <alignment vertical="center"/>
    </xf>
    <xf numFmtId="2" fontId="15" fillId="0" borderId="0" xfId="0" applyNumberFormat="1" applyFont="1" applyBorder="1" applyAlignment="1">
      <alignment horizontal="center" wrapText="1"/>
    </xf>
    <xf numFmtId="2" fontId="29" fillId="0" borderId="0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2" fontId="22" fillId="0" borderId="0" xfId="0" applyNumberFormat="1" applyFont="1" applyFill="1" applyBorder="1" applyAlignment="1">
      <alignment horizontal="center"/>
    </xf>
    <xf numFmtId="164" fontId="14" fillId="0" borderId="0" xfId="0" applyNumberFormat="1" applyFont="1" applyBorder="1"/>
    <xf numFmtId="1" fontId="15" fillId="0" borderId="0" xfId="0" applyNumberFormat="1" applyFont="1" applyBorder="1" applyAlignment="1">
      <alignment horizontal="center" wrapText="1"/>
    </xf>
    <xf numFmtId="2" fontId="14" fillId="0" borderId="0" xfId="0" applyNumberFormat="1" applyFont="1" applyBorder="1" applyAlignment="1">
      <alignment horizontal="left"/>
    </xf>
    <xf numFmtId="0" fontId="33" fillId="0" borderId="0" xfId="0" applyFont="1" applyBorder="1" applyAlignment="1">
      <alignment vertical="center" wrapText="1"/>
    </xf>
    <xf numFmtId="0" fontId="20" fillId="0" borderId="0" xfId="196" applyFont="1" applyAlignment="1">
      <alignment wrapText="1"/>
    </xf>
    <xf numFmtId="0" fontId="20" fillId="0" borderId="0" xfId="196" applyFont="1" applyAlignment="1">
      <alignment horizontal="right"/>
    </xf>
    <xf numFmtId="0" fontId="6" fillId="0" borderId="1" xfId="196" applyFont="1" applyBorder="1" applyAlignment="1">
      <alignment horizontal="left"/>
    </xf>
    <xf numFmtId="0" fontId="6" fillId="0" borderId="1" xfId="196" applyFont="1" applyBorder="1"/>
    <xf numFmtId="0" fontId="51" fillId="0" borderId="0" xfId="196" applyFont="1"/>
    <xf numFmtId="0" fontId="52" fillId="0" borderId="0" xfId="0" applyFont="1"/>
    <xf numFmtId="0" fontId="53" fillId="0" borderId="0" xfId="0" applyFont="1"/>
    <xf numFmtId="0" fontId="40" fillId="0" borderId="0" xfId="0" applyFont="1" applyBorder="1" applyAlignment="1">
      <alignment horizontal="left" wrapText="1"/>
    </xf>
    <xf numFmtId="0" fontId="14" fillId="0" borderId="0" xfId="196" applyFont="1" applyBorder="1" applyAlignment="1">
      <alignment horizontal="left"/>
    </xf>
    <xf numFmtId="0" fontId="40" fillId="0" borderId="0" xfId="0" applyFont="1" applyBorder="1" applyAlignment="1">
      <alignment horizontal="center" wrapText="1"/>
    </xf>
    <xf numFmtId="2" fontId="40" fillId="0" borderId="0" xfId="0" applyNumberFormat="1" applyFont="1" applyBorder="1" applyAlignment="1">
      <alignment horizontal="center" wrapText="1"/>
    </xf>
    <xf numFmtId="0" fontId="40" fillId="0" borderId="0" xfId="0" applyFont="1" applyBorder="1" applyAlignment="1">
      <alignment horizontal="right" wrapText="1"/>
    </xf>
    <xf numFmtId="0" fontId="38" fillId="0" borderId="0" xfId="0" applyFont="1" applyBorder="1"/>
    <xf numFmtId="2" fontId="1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2" fontId="14" fillId="0" borderId="0" xfId="0" applyNumberFormat="1" applyFont="1" applyBorder="1"/>
    <xf numFmtId="0" fontId="33" fillId="0" borderId="0" xfId="0" applyFont="1" applyBorder="1" applyAlignment="1">
      <alignment horizontal="left" wrapText="1"/>
    </xf>
    <xf numFmtId="0" fontId="48" fillId="0" borderId="0" xfId="0" applyFont="1" applyBorder="1" applyAlignment="1">
      <alignment horizontal="center" wrapText="1"/>
    </xf>
    <xf numFmtId="0" fontId="6" fillId="0" borderId="0" xfId="0" applyFont="1" applyAlignment="1">
      <alignment horizontal="left"/>
    </xf>
    <xf numFmtId="0" fontId="26" fillId="0" borderId="0" xfId="0" applyFont="1" applyFill="1" applyBorder="1" applyAlignment="1">
      <alignment wrapText="1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left" wrapText="1"/>
    </xf>
    <xf numFmtId="0" fontId="14" fillId="0" borderId="0" xfId="0" applyFont="1" applyFill="1"/>
    <xf numFmtId="0" fontId="20" fillId="0" borderId="0" xfId="0" applyFont="1" applyFill="1" applyBorder="1" applyAlignment="1">
      <alignment wrapText="1"/>
    </xf>
    <xf numFmtId="0" fontId="32" fillId="0" borderId="0" xfId="0" applyFont="1" applyFill="1"/>
    <xf numFmtId="0" fontId="27" fillId="0" borderId="0" xfId="0" applyFont="1" applyFill="1" applyBorder="1" applyAlignment="1">
      <alignment horizontal="center" wrapText="1"/>
    </xf>
    <xf numFmtId="0" fontId="27" fillId="0" borderId="0" xfId="0" applyFont="1" applyFill="1" applyBorder="1" applyAlignment="1">
      <alignment wrapText="1"/>
    </xf>
    <xf numFmtId="0" fontId="29" fillId="0" borderId="0" xfId="0" applyFont="1" applyFill="1"/>
    <xf numFmtId="0" fontId="29" fillId="0" borderId="0" xfId="0" applyFont="1" applyFill="1" applyBorder="1"/>
    <xf numFmtId="0" fontId="2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22" fillId="0" borderId="0" xfId="0" applyFont="1" applyFill="1" applyBorder="1" applyAlignment="1"/>
    <xf numFmtId="0" fontId="22" fillId="0" borderId="0" xfId="0" applyFont="1" applyFill="1" applyBorder="1" applyAlignment="1">
      <alignment horizontal="right" wrapText="1"/>
    </xf>
    <xf numFmtId="0" fontId="13" fillId="0" borderId="0" xfId="0" applyFont="1" applyFill="1" applyBorder="1"/>
    <xf numFmtId="164" fontId="14" fillId="0" borderId="0" xfId="0" applyNumberFormat="1" applyFont="1" applyFill="1"/>
    <xf numFmtId="2" fontId="14" fillId="0" borderId="0" xfId="0" applyNumberFormat="1" applyFont="1" applyBorder="1" applyAlignment="1"/>
    <xf numFmtId="0" fontId="29" fillId="0" borderId="0" xfId="0" applyFont="1" applyAlignment="1">
      <alignment vertical="center" wrapText="1"/>
    </xf>
    <xf numFmtId="2" fontId="6" fillId="0" borderId="0" xfId="0" applyNumberFormat="1" applyFont="1" applyBorder="1" applyAlignment="1">
      <alignment horizontal="center"/>
    </xf>
    <xf numFmtId="0" fontId="21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justify" wrapText="1"/>
    </xf>
    <xf numFmtId="0" fontId="15" fillId="0" borderId="0" xfId="0" applyFont="1" applyAlignment="1">
      <alignment vertical="justify" wrapText="1"/>
    </xf>
    <xf numFmtId="0" fontId="6" fillId="0" borderId="0" xfId="0" applyFont="1" applyAlignment="1">
      <alignment vertical="justify"/>
    </xf>
    <xf numFmtId="0" fontId="15" fillId="0" borderId="0" xfId="0" applyFont="1" applyFill="1" applyAlignment="1">
      <alignment vertical="justify" wrapText="1"/>
    </xf>
    <xf numFmtId="0" fontId="0" fillId="0" borderId="0" xfId="0" applyFill="1"/>
    <xf numFmtId="0" fontId="0" fillId="0" borderId="0" xfId="0" applyFill="1" applyBorder="1"/>
    <xf numFmtId="0" fontId="29" fillId="0" borderId="0" xfId="0" applyFont="1" applyAlignment="1"/>
    <xf numFmtId="0" fontId="6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59" fillId="0" borderId="0" xfId="0" applyFont="1" applyAlignment="1"/>
    <xf numFmtId="0" fontId="22" fillId="0" borderId="0" xfId="0" applyFont="1" applyFill="1"/>
    <xf numFmtId="0" fontId="22" fillId="0" borderId="0" xfId="0" applyFont="1" applyFill="1" applyBorder="1"/>
    <xf numFmtId="0" fontId="58" fillId="0" borderId="0" xfId="0" applyFont="1" applyAlignment="1"/>
    <xf numFmtId="0" fontId="3" fillId="0" borderId="0" xfId="173" applyAlignment="1" applyProtection="1"/>
    <xf numFmtId="0" fontId="0" fillId="2" borderId="0" xfId="0" applyFill="1"/>
    <xf numFmtId="0" fontId="0" fillId="2" borderId="0" xfId="0" applyFill="1" applyBorder="1"/>
    <xf numFmtId="0" fontId="30" fillId="0" borderId="0" xfId="0" applyFont="1" applyBorder="1" applyAlignment="1">
      <alignment horizontal="left"/>
    </xf>
    <xf numFmtId="0" fontId="111" fillId="0" borderId="0" xfId="0" applyFont="1"/>
    <xf numFmtId="0" fontId="0" fillId="0" borderId="0" xfId="0" applyBorder="1"/>
    <xf numFmtId="0" fontId="18" fillId="0" borderId="2" xfId="0" applyFont="1" applyBorder="1" applyAlignment="1">
      <alignment vertical="center" wrapText="1"/>
    </xf>
    <xf numFmtId="0" fontId="60" fillId="0" borderId="0" xfId="0" applyFont="1" applyBorder="1" applyAlignment="1">
      <alignment horizontal="left" wrapText="1"/>
    </xf>
    <xf numFmtId="0" fontId="33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 wrapText="1"/>
    </xf>
    <xf numFmtId="0" fontId="17" fillId="0" borderId="0" xfId="0" applyFont="1"/>
    <xf numFmtId="0" fontId="17" fillId="0" borderId="0" xfId="0" applyFont="1" applyBorder="1" applyAlignment="1">
      <alignment wrapText="1"/>
    </xf>
    <xf numFmtId="0" fontId="61" fillId="0" borderId="0" xfId="0" applyFont="1"/>
    <xf numFmtId="0" fontId="57" fillId="0" borderId="0" xfId="0" applyFont="1" applyBorder="1" applyAlignment="1">
      <alignment wrapText="1"/>
    </xf>
    <xf numFmtId="0" fontId="33" fillId="0" borderId="0" xfId="0" applyFont="1" applyAlignment="1">
      <alignment vertical="center"/>
    </xf>
    <xf numFmtId="0" fontId="33" fillId="0" borderId="0" xfId="0" applyFont="1" applyBorder="1" applyAlignment="1">
      <alignment vertical="center"/>
    </xf>
    <xf numFmtId="0" fontId="18" fillId="0" borderId="0" xfId="0" applyFont="1" applyAlignment="1"/>
    <xf numFmtId="0" fontId="48" fillId="0" borderId="0" xfId="0" applyFont="1" applyBorder="1" applyAlignment="1">
      <alignment horizontal="left"/>
    </xf>
    <xf numFmtId="0" fontId="48" fillId="0" borderId="0" xfId="0" applyFont="1" applyBorder="1" applyAlignment="1">
      <alignment horizontal="center"/>
    </xf>
    <xf numFmtId="0" fontId="17" fillId="0" borderId="0" xfId="0" applyFont="1" applyBorder="1"/>
    <xf numFmtId="49" fontId="17" fillId="0" borderId="0" xfId="0" applyNumberFormat="1" applyFont="1" applyBorder="1" applyAlignment="1"/>
    <xf numFmtId="0" fontId="25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left"/>
    </xf>
    <xf numFmtId="0" fontId="61" fillId="0" borderId="0" xfId="0" applyFont="1" applyAlignment="1">
      <alignment vertical="center"/>
    </xf>
    <xf numFmtId="0" fontId="23" fillId="0" borderId="0" xfId="0" applyFont="1" applyAlignment="1">
      <alignment horizontal="right"/>
    </xf>
    <xf numFmtId="0" fontId="14" fillId="0" borderId="0" xfId="0" applyFont="1" applyFill="1" applyBorder="1" applyAlignment="1">
      <alignment horizontal="right"/>
    </xf>
    <xf numFmtId="2" fontId="112" fillId="0" borderId="0" xfId="0" applyNumberFormat="1" applyFont="1" applyFill="1" applyBorder="1" applyAlignment="1">
      <alignment horizontal="center"/>
    </xf>
    <xf numFmtId="0" fontId="32" fillId="2" borderId="0" xfId="0" applyFont="1" applyFill="1" applyBorder="1" applyAlignment="1">
      <alignment horizontal="right"/>
    </xf>
    <xf numFmtId="0" fontId="20" fillId="0" borderId="0" xfId="0" applyFont="1"/>
    <xf numFmtId="0" fontId="20" fillId="0" borderId="0" xfId="0" applyFont="1" applyBorder="1" applyAlignment="1">
      <alignment horizontal="center" wrapText="1"/>
    </xf>
    <xf numFmtId="0" fontId="20" fillId="0" borderId="0" xfId="0" applyNumberFormat="1" applyFont="1" applyBorder="1" applyAlignment="1">
      <alignment horizontal="center" wrapText="1"/>
    </xf>
    <xf numFmtId="0" fontId="27" fillId="0" borderId="0" xfId="0" applyFont="1" applyBorder="1" applyAlignment="1">
      <alignment horizontal="right" wrapText="1"/>
    </xf>
    <xf numFmtId="0" fontId="27" fillId="0" borderId="0" xfId="0" applyFont="1" applyBorder="1" applyAlignment="1">
      <alignment horizontal="center" wrapText="1"/>
    </xf>
    <xf numFmtId="0" fontId="19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/>
    </xf>
    <xf numFmtId="46" fontId="14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right" vertical="center"/>
    </xf>
    <xf numFmtId="0" fontId="13" fillId="0" borderId="0" xfId="0" applyFont="1" applyFill="1"/>
    <xf numFmtId="0" fontId="53" fillId="0" borderId="0" xfId="0" applyFont="1" applyBorder="1"/>
    <xf numFmtId="164" fontId="14" fillId="0" borderId="0" xfId="0" applyNumberFormat="1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4" fontId="14" fillId="0" borderId="0" xfId="0" applyNumberFormat="1" applyFont="1" applyFill="1" applyBorder="1" applyAlignment="1">
      <alignment horizontal="left"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Border="1" applyAlignment="1">
      <alignment horizontal="left" wrapText="1"/>
    </xf>
    <xf numFmtId="2" fontId="14" fillId="0" borderId="0" xfId="0" applyNumberFormat="1" applyFont="1" applyBorder="1" applyAlignment="1">
      <alignment horizontal="center" wrapText="1"/>
    </xf>
    <xf numFmtId="164" fontId="14" fillId="0" borderId="0" xfId="0" applyNumberFormat="1" applyFont="1" applyFill="1" applyBorder="1" applyAlignment="1">
      <alignment horizontal="center" wrapText="1"/>
    </xf>
    <xf numFmtId="0" fontId="22" fillId="0" borderId="0" xfId="0" applyFont="1" applyFill="1" applyBorder="1" applyAlignment="1">
      <alignment wrapText="1"/>
    </xf>
    <xf numFmtId="0" fontId="65" fillId="0" borderId="0" xfId="0" applyFont="1"/>
    <xf numFmtId="0" fontId="22" fillId="0" borderId="0" xfId="196" applyFont="1" applyFill="1" applyBorder="1" applyAlignment="1">
      <alignment horizontal="left"/>
    </xf>
    <xf numFmtId="0" fontId="14" fillId="0" borderId="0" xfId="196" applyFont="1" applyFill="1" applyBorder="1" applyAlignment="1">
      <alignment horizontal="left" vertical="center"/>
    </xf>
    <xf numFmtId="0" fontId="14" fillId="0" borderId="0" xfId="0" applyFont="1" applyFill="1" applyBorder="1" applyAlignment="1"/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right" wrapText="1"/>
    </xf>
    <xf numFmtId="0" fontId="14" fillId="0" borderId="0" xfId="0" applyFont="1" applyBorder="1" applyAlignment="1">
      <alignment vertical="top"/>
    </xf>
    <xf numFmtId="0" fontId="12" fillId="0" borderId="0" xfId="0" applyFont="1" applyBorder="1" applyAlignment="1">
      <alignment horizontal="left" vertical="center" wrapText="1"/>
    </xf>
    <xf numFmtId="2" fontId="12" fillId="0" borderId="0" xfId="0" applyNumberFormat="1" applyFont="1" applyBorder="1" applyAlignment="1">
      <alignment horizontal="left" wrapText="1"/>
    </xf>
    <xf numFmtId="2" fontId="14" fillId="0" borderId="0" xfId="0" applyNumberFormat="1" applyFont="1" applyFill="1" applyBorder="1"/>
    <xf numFmtId="0" fontId="12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0" fontId="19" fillId="0" borderId="2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/>
    </xf>
    <xf numFmtId="2" fontId="12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vertical="center"/>
    </xf>
    <xf numFmtId="37" fontId="13" fillId="0" borderId="0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18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46" fontId="12" fillId="0" borderId="0" xfId="0" applyNumberFormat="1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3" fillId="0" borderId="0" xfId="0" applyFont="1" applyFill="1" applyAlignment="1"/>
    <xf numFmtId="0" fontId="33" fillId="0" borderId="0" xfId="0" applyFont="1" applyFill="1"/>
    <xf numFmtId="0" fontId="14" fillId="0" borderId="0" xfId="0" applyFont="1" applyFill="1" applyAlignment="1"/>
    <xf numFmtId="0" fontId="33" fillId="0" borderId="0" xfId="0" applyFont="1" applyFill="1" applyAlignment="1">
      <alignment vertical="center"/>
    </xf>
    <xf numFmtId="0" fontId="61" fillId="0" borderId="0" xfId="0" applyFont="1" applyFill="1"/>
    <xf numFmtId="0" fontId="61" fillId="0" borderId="0" xfId="0" applyFont="1" applyFill="1" applyAlignment="1"/>
    <xf numFmtId="0" fontId="33" fillId="0" borderId="0" xfId="0" applyFont="1" applyFill="1" applyAlignment="1"/>
    <xf numFmtId="0" fontId="33" fillId="0" borderId="0" xfId="0" applyFont="1" applyFill="1" applyBorder="1" applyAlignment="1">
      <alignment vertical="center"/>
    </xf>
    <xf numFmtId="0" fontId="33" fillId="0" borderId="0" xfId="0" applyFont="1" applyFill="1" applyBorder="1" applyAlignment="1"/>
    <xf numFmtId="0" fontId="57" fillId="0" borderId="0" xfId="0" applyFont="1" applyFill="1" applyBorder="1" applyAlignment="1">
      <alignment horizontal="center" wrapText="1"/>
    </xf>
    <xf numFmtId="0" fontId="57" fillId="0" borderId="0" xfId="0" applyFont="1" applyFill="1" applyBorder="1" applyAlignment="1">
      <alignment horizontal="left" wrapText="1"/>
    </xf>
    <xf numFmtId="0" fontId="38" fillId="0" borderId="0" xfId="0" applyFont="1" applyFill="1"/>
    <xf numFmtId="0" fontId="38" fillId="0" borderId="0" xfId="0" applyFont="1" applyFill="1" applyAlignment="1"/>
    <xf numFmtId="0" fontId="38" fillId="0" borderId="0" xfId="0" applyFont="1" applyFill="1" applyBorder="1"/>
    <xf numFmtId="0" fontId="38" fillId="0" borderId="0" xfId="0" applyFont="1" applyFill="1" applyBorder="1" applyAlignment="1"/>
    <xf numFmtId="0" fontId="33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wrapText="1"/>
    </xf>
    <xf numFmtId="2" fontId="18" fillId="0" borderId="0" xfId="0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right" wrapText="1"/>
    </xf>
    <xf numFmtId="0" fontId="13" fillId="0" borderId="0" xfId="0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/>
    <xf numFmtId="0" fontId="17" fillId="0" borderId="0" xfId="0" applyFont="1" applyFill="1" applyBorder="1" applyAlignment="1">
      <alignment horizontal="left" wrapText="1"/>
    </xf>
    <xf numFmtId="0" fontId="33" fillId="0" borderId="0" xfId="0" applyFont="1" applyFill="1" applyAlignment="1">
      <alignment horizontal="center"/>
    </xf>
    <xf numFmtId="2" fontId="33" fillId="0" borderId="0" xfId="0" applyNumberFormat="1" applyFont="1" applyFill="1" applyAlignment="1">
      <alignment horizontal="center"/>
    </xf>
    <xf numFmtId="164" fontId="14" fillId="34" borderId="0" xfId="0" applyNumberFormat="1" applyFont="1" applyFill="1" applyBorder="1" applyAlignment="1">
      <alignment horizontal="left" vertical="center" wrapText="1"/>
    </xf>
    <xf numFmtId="164" fontId="14" fillId="34" borderId="0" xfId="0" applyNumberFormat="1" applyFont="1" applyFill="1" applyBorder="1" applyAlignment="1">
      <alignment horizontal="center" vertical="center" wrapText="1"/>
    </xf>
    <xf numFmtId="164" fontId="14" fillId="34" borderId="0" xfId="0" applyNumberFormat="1" applyFont="1" applyFill="1" applyBorder="1" applyAlignment="1">
      <alignment horizontal="center" vertical="center"/>
    </xf>
    <xf numFmtId="2" fontId="14" fillId="34" borderId="0" xfId="0" applyNumberFormat="1" applyFont="1" applyFill="1" applyBorder="1" applyAlignment="1">
      <alignment horizontal="center" vertical="center" wrapText="1"/>
    </xf>
    <xf numFmtId="1" fontId="14" fillId="34" borderId="0" xfId="0" applyNumberFormat="1" applyFont="1" applyFill="1" applyBorder="1" applyAlignment="1">
      <alignment horizontal="center" vertical="center" wrapText="1"/>
    </xf>
    <xf numFmtId="2" fontId="14" fillId="34" borderId="0" xfId="0" applyNumberFormat="1" applyFont="1" applyFill="1" applyAlignment="1">
      <alignment horizontal="center" vertical="center"/>
    </xf>
    <xf numFmtId="164" fontId="14" fillId="34" borderId="0" xfId="0" applyNumberFormat="1" applyFont="1" applyFill="1" applyBorder="1" applyAlignment="1">
      <alignment horizontal="center"/>
    </xf>
    <xf numFmtId="0" fontId="14" fillId="34" borderId="0" xfId="0" applyFont="1" applyFill="1" applyBorder="1" applyAlignment="1">
      <alignment horizontal="center" vertical="center"/>
    </xf>
    <xf numFmtId="2" fontId="14" fillId="34" borderId="0" xfId="0" applyNumberFormat="1" applyFont="1" applyFill="1" applyBorder="1" applyAlignment="1">
      <alignment horizontal="center" vertical="center"/>
    </xf>
    <xf numFmtId="1" fontId="14" fillId="34" borderId="0" xfId="0" applyNumberFormat="1" applyFont="1" applyFill="1" applyBorder="1" applyAlignment="1">
      <alignment horizontal="center" vertical="center"/>
    </xf>
    <xf numFmtId="164" fontId="14" fillId="34" borderId="0" xfId="0" applyNumberFormat="1" applyFont="1" applyFill="1" applyBorder="1" applyAlignment="1">
      <alignment horizontal="left" wrapText="1"/>
    </xf>
    <xf numFmtId="0" fontId="14" fillId="34" borderId="0" xfId="0" applyFont="1" applyFill="1" applyBorder="1" applyAlignment="1">
      <alignment horizontal="center"/>
    </xf>
    <xf numFmtId="164" fontId="14" fillId="34" borderId="0" xfId="0" applyNumberFormat="1" applyFont="1" applyFill="1" applyBorder="1" applyAlignment="1">
      <alignment horizontal="center" wrapText="1"/>
    </xf>
    <xf numFmtId="2" fontId="14" fillId="34" borderId="0" xfId="0" applyNumberFormat="1" applyFont="1" applyFill="1" applyBorder="1" applyAlignment="1">
      <alignment horizontal="center"/>
    </xf>
    <xf numFmtId="1" fontId="14" fillId="34" borderId="0" xfId="0" applyNumberFormat="1" applyFont="1" applyFill="1" applyBorder="1" applyAlignment="1">
      <alignment horizontal="center"/>
    </xf>
    <xf numFmtId="2" fontId="14" fillId="34" borderId="0" xfId="0" applyNumberFormat="1" applyFont="1" applyFill="1" applyAlignment="1">
      <alignment horizontal="center"/>
    </xf>
    <xf numFmtId="2" fontId="22" fillId="34" borderId="0" xfId="0" applyNumberFormat="1" applyFont="1" applyFill="1" applyBorder="1" applyAlignment="1">
      <alignment horizontal="center"/>
    </xf>
    <xf numFmtId="0" fontId="14" fillId="34" borderId="0" xfId="0" applyFont="1" applyFill="1" applyBorder="1"/>
    <xf numFmtId="0" fontId="14" fillId="34" borderId="0" xfId="0" applyFont="1" applyFill="1" applyBorder="1" applyAlignment="1">
      <alignment horizontal="right"/>
    </xf>
    <xf numFmtId="0" fontId="22" fillId="34" borderId="0" xfId="0" applyFont="1" applyFill="1" applyBorder="1"/>
    <xf numFmtId="0" fontId="22" fillId="34" borderId="0" xfId="0" applyFont="1" applyFill="1" applyBorder="1" applyAlignment="1">
      <alignment horizontal="right"/>
    </xf>
    <xf numFmtId="0" fontId="14" fillId="34" borderId="0" xfId="0" applyFont="1" applyFill="1" applyBorder="1" applyAlignment="1">
      <alignment horizontal="justify" wrapText="1"/>
    </xf>
    <xf numFmtId="0" fontId="14" fillId="34" borderId="0" xfId="0" applyFont="1" applyFill="1" applyBorder="1" applyAlignment="1">
      <alignment horizontal="right" wrapText="1"/>
    </xf>
    <xf numFmtId="0" fontId="12" fillId="34" borderId="0" xfId="0" applyFont="1" applyFill="1" applyBorder="1" applyAlignment="1">
      <alignment horizontal="left" wrapText="1"/>
    </xf>
    <xf numFmtId="0" fontId="12" fillId="34" borderId="0" xfId="0" applyFont="1" applyFill="1" applyBorder="1" applyAlignment="1">
      <alignment horizontal="right" wrapText="1"/>
    </xf>
    <xf numFmtId="0" fontId="14" fillId="34" borderId="0" xfId="0" applyFont="1" applyFill="1" applyBorder="1" applyAlignment="1">
      <alignment horizontal="left"/>
    </xf>
    <xf numFmtId="0" fontId="14" fillId="34" borderId="0" xfId="0" applyFont="1" applyFill="1" applyBorder="1" applyAlignment="1">
      <alignment horizontal="left" wrapText="1"/>
    </xf>
    <xf numFmtId="0" fontId="22" fillId="34" borderId="0" xfId="0" applyFont="1" applyFill="1" applyBorder="1" applyAlignment="1">
      <alignment horizontal="left" wrapText="1"/>
    </xf>
    <xf numFmtId="0" fontId="22" fillId="34" borderId="0" xfId="196" applyFont="1" applyFill="1" applyBorder="1" applyAlignment="1">
      <alignment horizontal="left"/>
    </xf>
    <xf numFmtId="0" fontId="14" fillId="34" borderId="0" xfId="196" applyFont="1" applyFill="1" applyBorder="1" applyAlignment="1">
      <alignment horizontal="left"/>
    </xf>
    <xf numFmtId="2" fontId="12" fillId="34" borderId="0" xfId="0" applyNumberFormat="1" applyFont="1" applyFill="1" applyBorder="1" applyAlignment="1">
      <alignment horizontal="center"/>
    </xf>
    <xf numFmtId="1" fontId="12" fillId="34" borderId="0" xfId="0" applyNumberFormat="1" applyFont="1" applyFill="1" applyBorder="1" applyAlignment="1">
      <alignment horizontal="left" wrapText="1"/>
    </xf>
    <xf numFmtId="1" fontId="12" fillId="34" borderId="0" xfId="0" applyNumberFormat="1" applyFont="1" applyFill="1" applyBorder="1" applyAlignment="1">
      <alignment horizontal="right" wrapText="1"/>
    </xf>
    <xf numFmtId="0" fontId="12" fillId="34" borderId="0" xfId="0" applyFont="1" applyFill="1" applyBorder="1" applyAlignment="1">
      <alignment horizontal="left"/>
    </xf>
    <xf numFmtId="2" fontId="12" fillId="34" borderId="0" xfId="0" applyNumberFormat="1" applyFont="1" applyFill="1" applyBorder="1" applyAlignment="1">
      <alignment horizontal="center" vertical="center" wrapText="1"/>
    </xf>
    <xf numFmtId="2" fontId="12" fillId="34" borderId="0" xfId="0" applyNumberFormat="1" applyFont="1" applyFill="1" applyBorder="1" applyAlignment="1">
      <alignment horizontal="center" wrapText="1"/>
    </xf>
    <xf numFmtId="0" fontId="12" fillId="34" borderId="0" xfId="0" applyFont="1" applyFill="1" applyBorder="1" applyAlignment="1">
      <alignment wrapText="1"/>
    </xf>
    <xf numFmtId="0" fontId="14" fillId="34" borderId="0" xfId="0" applyNumberFormat="1" applyFont="1" applyFill="1" applyBorder="1" applyAlignment="1">
      <alignment horizontal="center"/>
    </xf>
    <xf numFmtId="0" fontId="26" fillId="34" borderId="0" xfId="0" applyFont="1" applyFill="1" applyBorder="1" applyAlignment="1">
      <alignment horizontal="left" wrapText="1"/>
    </xf>
    <xf numFmtId="0" fontId="12" fillId="34" borderId="0" xfId="0" applyFont="1" applyFill="1" applyBorder="1" applyAlignment="1">
      <alignment horizontal="right" vertical="center" wrapText="1"/>
    </xf>
    <xf numFmtId="0" fontId="14" fillId="34" borderId="0" xfId="0" applyFont="1" applyFill="1" applyBorder="1" applyAlignment="1">
      <alignment vertical="center"/>
    </xf>
    <xf numFmtId="0" fontId="18" fillId="34" borderId="0" xfId="0" applyFont="1" applyFill="1" applyBorder="1" applyAlignment="1">
      <alignment horizontal="left" wrapText="1"/>
    </xf>
    <xf numFmtId="0" fontId="19" fillId="34" borderId="0" xfId="0" applyFont="1" applyFill="1" applyBorder="1" applyAlignment="1">
      <alignment horizontal="left" wrapText="1"/>
    </xf>
    <xf numFmtId="0" fontId="18" fillId="34" borderId="0" xfId="0" applyFont="1" applyFill="1" applyBorder="1" applyAlignment="1">
      <alignment horizontal="left" vertical="top" wrapText="1"/>
    </xf>
    <xf numFmtId="0" fontId="12" fillId="34" borderId="0" xfId="0" applyFont="1" applyFill="1" applyBorder="1" applyAlignment="1">
      <alignment horizontal="left" vertical="top" wrapText="1"/>
    </xf>
    <xf numFmtId="2" fontId="12" fillId="34" borderId="0" xfId="0" applyNumberFormat="1" applyFont="1" applyFill="1" applyBorder="1" applyAlignment="1">
      <alignment horizontal="center" vertical="top" wrapText="1"/>
    </xf>
    <xf numFmtId="0" fontId="12" fillId="34" borderId="0" xfId="0" applyFont="1" applyFill="1" applyBorder="1" applyAlignment="1">
      <alignment horizontal="left" vertical="center" wrapText="1"/>
    </xf>
    <xf numFmtId="0" fontId="15" fillId="34" borderId="0" xfId="0" applyFont="1" applyFill="1" applyBorder="1" applyAlignment="1">
      <alignment horizontal="center" wrapText="1"/>
    </xf>
    <xf numFmtId="2" fontId="15" fillId="34" borderId="0" xfId="0" applyNumberFormat="1" applyFont="1" applyFill="1" applyBorder="1" applyAlignment="1">
      <alignment horizontal="center" wrapText="1"/>
    </xf>
    <xf numFmtId="0" fontId="15" fillId="34" borderId="0" xfId="0" applyFont="1" applyFill="1" applyBorder="1" applyAlignment="1">
      <alignment horizontal="left" wrapText="1"/>
    </xf>
    <xf numFmtId="0" fontId="29" fillId="34" borderId="0" xfId="0" applyFont="1" applyFill="1" applyBorder="1"/>
    <xf numFmtId="0" fontId="29" fillId="34" borderId="0" xfId="0" applyFont="1" applyFill="1" applyBorder="1" applyAlignment="1">
      <alignment horizontal="center"/>
    </xf>
    <xf numFmtId="2" fontId="29" fillId="34" borderId="0" xfId="0" applyNumberFormat="1" applyFont="1" applyFill="1" applyBorder="1" applyAlignment="1">
      <alignment horizontal="center"/>
    </xf>
    <xf numFmtId="2" fontId="29" fillId="34" borderId="0" xfId="0" applyNumberFormat="1" applyFont="1" applyFill="1" applyBorder="1" applyAlignment="1">
      <alignment horizontal="center" wrapText="1"/>
    </xf>
    <xf numFmtId="1" fontId="15" fillId="34" borderId="0" xfId="0" applyNumberFormat="1" applyFont="1" applyFill="1" applyBorder="1" applyAlignment="1">
      <alignment horizontal="center" wrapText="1"/>
    </xf>
    <xf numFmtId="2" fontId="12" fillId="34" borderId="0" xfId="0" applyNumberFormat="1" applyFont="1" applyFill="1" applyBorder="1" applyAlignment="1">
      <alignment horizontal="left" wrapText="1"/>
    </xf>
    <xf numFmtId="2" fontId="112" fillId="0" borderId="0" xfId="0" applyNumberFormat="1" applyFont="1" applyFill="1" applyBorder="1" applyAlignment="1">
      <alignment horizontal="center" wrapText="1"/>
    </xf>
    <xf numFmtId="164" fontId="22" fillId="34" borderId="0" xfId="0" applyNumberFormat="1" applyFont="1" applyFill="1" applyBorder="1" applyAlignment="1">
      <alignment horizontal="center" vertical="center"/>
    </xf>
    <xf numFmtId="2" fontId="22" fillId="34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0" fontId="14" fillId="34" borderId="12" xfId="0" applyFont="1" applyFill="1" applyBorder="1"/>
    <xf numFmtId="0" fontId="22" fillId="0" borderId="2" xfId="0" applyFont="1" applyFill="1" applyBorder="1" applyAlignment="1">
      <alignment horizontal="center" vertical="center" wrapText="1"/>
    </xf>
    <xf numFmtId="2" fontId="12" fillId="34" borderId="12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wrapText="1"/>
    </xf>
    <xf numFmtId="0" fontId="15" fillId="0" borderId="12" xfId="0" applyFont="1" applyBorder="1" applyAlignment="1">
      <alignment vertical="justify" wrapText="1"/>
    </xf>
    <xf numFmtId="0" fontId="12" fillId="0" borderId="0" xfId="0" applyFont="1" applyFill="1" applyBorder="1" applyAlignment="1">
      <alignment horizontal="left" vertical="top" wrapText="1"/>
    </xf>
    <xf numFmtId="2" fontId="12" fillId="0" borderId="0" xfId="0" applyNumberFormat="1" applyFont="1" applyFill="1" applyBorder="1" applyAlignment="1">
      <alignment horizontal="center" vertical="top" wrapText="1"/>
    </xf>
    <xf numFmtId="164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0" fontId="37" fillId="0" borderId="0" xfId="0" applyFont="1" applyBorder="1"/>
    <xf numFmtId="0" fontId="12" fillId="0" borderId="0" xfId="0" applyFont="1" applyFill="1" applyBorder="1" applyAlignment="1">
      <alignment horizontal="left"/>
    </xf>
    <xf numFmtId="0" fontId="30" fillId="0" borderId="0" xfId="0" applyFont="1" applyAlignment="1">
      <alignment vertical="center" wrapText="1"/>
    </xf>
    <xf numFmtId="2" fontId="12" fillId="0" borderId="0" xfId="0" applyNumberFormat="1" applyFont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66" fontId="14" fillId="34" borderId="0" xfId="0" applyNumberFormat="1" applyFont="1" applyFill="1" applyBorder="1" applyAlignment="1">
      <alignment horizontal="center" vertical="center"/>
    </xf>
    <xf numFmtId="0" fontId="14" fillId="34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3" fillId="0" borderId="0" xfId="0" applyFont="1" applyFill="1" applyBorder="1"/>
    <xf numFmtId="0" fontId="113" fillId="0" borderId="0" xfId="0" applyFont="1" applyFill="1" applyBorder="1"/>
    <xf numFmtId="0" fontId="64" fillId="0" borderId="0" xfId="0" applyFont="1" applyFill="1" applyBorder="1"/>
    <xf numFmtId="0" fontId="114" fillId="0" borderId="0" xfId="0" applyFont="1" applyFill="1" applyBorder="1" applyAlignment="1">
      <alignment vertical="center" textRotation="180"/>
    </xf>
    <xf numFmtId="0" fontId="36" fillId="0" borderId="0" xfId="0" applyFont="1" applyBorder="1" applyAlignment="1">
      <alignment horizontal="right" wrapText="1"/>
    </xf>
    <xf numFmtId="0" fontId="14" fillId="0" borderId="0" xfId="0" applyFont="1" applyBorder="1" applyAlignment="1">
      <alignment horizontal="right" vertical="center"/>
    </xf>
    <xf numFmtId="166" fontId="14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166" fontId="14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right" vertical="center"/>
    </xf>
    <xf numFmtId="0" fontId="48" fillId="0" borderId="0" xfId="0" applyFont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2" fontId="112" fillId="0" borderId="0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/>
    </xf>
    <xf numFmtId="0" fontId="69" fillId="0" borderId="0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2" borderId="19" xfId="0" applyFill="1" applyBorder="1"/>
    <xf numFmtId="0" fontId="69" fillId="2" borderId="0" xfId="0" applyFont="1" applyFill="1" applyBorder="1"/>
    <xf numFmtId="0" fontId="69" fillId="0" borderId="0" xfId="0" applyFont="1" applyFill="1" applyBorder="1" applyAlignment="1"/>
    <xf numFmtId="173" fontId="69" fillId="0" borderId="0" xfId="0" applyNumberFormat="1" applyFont="1" applyFill="1" applyBorder="1" applyAlignment="1"/>
    <xf numFmtId="49" fontId="69" fillId="0" borderId="0" xfId="0" applyNumberFormat="1" applyFont="1" applyFill="1" applyBorder="1" applyAlignment="1"/>
    <xf numFmtId="0" fontId="69" fillId="2" borderId="0" xfId="0" applyFont="1" applyFill="1" applyBorder="1" applyAlignment="1"/>
    <xf numFmtId="2" fontId="112" fillId="34" borderId="0" xfId="0" applyNumberFormat="1" applyFont="1" applyFill="1" applyBorder="1" applyAlignment="1">
      <alignment horizontal="center" vertical="center" wrapText="1"/>
    </xf>
    <xf numFmtId="164" fontId="14" fillId="34" borderId="0" xfId="0" applyNumberFormat="1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right" vertical="center"/>
    </xf>
    <xf numFmtId="1" fontId="12" fillId="0" borderId="0" xfId="0" applyNumberFormat="1" applyFont="1" applyFill="1" applyBorder="1" applyAlignment="1">
      <alignment horizontal="left" vertical="center" wrapText="1"/>
    </xf>
    <xf numFmtId="1" fontId="12" fillId="0" borderId="0" xfId="0" applyNumberFormat="1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justify"/>
    </xf>
    <xf numFmtId="2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 vertical="center" wrapText="1"/>
    </xf>
    <xf numFmtId="2" fontId="29" fillId="0" borderId="0" xfId="0" applyNumberFormat="1" applyFont="1" applyFill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2" fontId="15" fillId="34" borderId="0" xfId="0" applyNumberFormat="1" applyFont="1" applyFill="1" applyBorder="1" applyAlignment="1">
      <alignment horizontal="center" vertical="center" wrapText="1"/>
    </xf>
    <xf numFmtId="0" fontId="15" fillId="34" borderId="0" xfId="0" applyFont="1" applyFill="1" applyBorder="1" applyAlignment="1">
      <alignment horizontal="right" vertical="center" wrapText="1"/>
    </xf>
    <xf numFmtId="2" fontId="29" fillId="34" borderId="0" xfId="0" applyNumberFormat="1" applyFont="1" applyFill="1" applyBorder="1" applyAlignment="1">
      <alignment horizontal="center" vertical="center"/>
    </xf>
    <xf numFmtId="0" fontId="29" fillId="34" borderId="0" xfId="0" applyFont="1" applyFill="1"/>
    <xf numFmtId="0" fontId="62" fillId="0" borderId="0" xfId="0" applyFont="1" applyFill="1" applyBorder="1" applyAlignment="1">
      <alignment vertical="center" textRotation="180"/>
    </xf>
    <xf numFmtId="0" fontId="68" fillId="0" borderId="0" xfId="0" applyFont="1" applyFill="1" applyBorder="1" applyAlignment="1">
      <alignment vertical="center" textRotation="180"/>
    </xf>
    <xf numFmtId="0" fontId="14" fillId="34" borderId="0" xfId="0" applyFont="1" applyFill="1" applyBorder="1" applyAlignment="1">
      <alignment horizontal="left" vertical="center"/>
    </xf>
    <xf numFmtId="0" fontId="12" fillId="0" borderId="0" xfId="0" applyFont="1" applyFill="1" applyBorder="1"/>
    <xf numFmtId="164" fontId="12" fillId="0" borderId="0" xfId="0" applyNumberFormat="1" applyFont="1" applyFill="1" applyBorder="1" applyAlignment="1">
      <alignment horizontal="center" wrapText="1"/>
    </xf>
    <xf numFmtId="164" fontId="14" fillId="0" borderId="0" xfId="0" applyNumberFormat="1" applyFont="1" applyFill="1" applyBorder="1" applyAlignment="1">
      <alignment horizontal="right" vertical="center" wrapText="1"/>
    </xf>
    <xf numFmtId="1" fontId="12" fillId="34" borderId="0" xfId="0" applyNumberFormat="1" applyFont="1" applyFill="1" applyBorder="1" applyAlignment="1">
      <alignment horizontal="center" vertical="center" wrapText="1"/>
    </xf>
    <xf numFmtId="0" fontId="115" fillId="0" borderId="0" xfId="0" applyFont="1" applyFill="1" applyBorder="1" applyAlignment="1">
      <alignment horizontal="center" vertical="center" wrapText="1"/>
    </xf>
    <xf numFmtId="0" fontId="116" fillId="0" borderId="0" xfId="0" applyFont="1" applyFill="1" applyBorder="1" applyAlignment="1">
      <alignment horizontal="center" vertical="center" wrapText="1"/>
    </xf>
    <xf numFmtId="0" fontId="115" fillId="0" borderId="0" xfId="0" applyFont="1" applyFill="1" applyBorder="1" applyAlignment="1">
      <alignment vertical="center" wrapText="1"/>
    </xf>
    <xf numFmtId="0" fontId="115" fillId="0" borderId="0" xfId="0" applyFont="1" applyFill="1" applyBorder="1"/>
    <xf numFmtId="0" fontId="117" fillId="0" borderId="0" xfId="0" applyFont="1" applyFill="1" applyBorder="1" applyAlignment="1">
      <alignment horizontal="left" vertical="center" wrapText="1"/>
    </xf>
    <xf numFmtId="0" fontId="116" fillId="0" borderId="0" xfId="0" applyFont="1" applyFill="1" applyBorder="1" applyAlignment="1">
      <alignment horizontal="left"/>
    </xf>
    <xf numFmtId="0" fontId="118" fillId="0" borderId="0" xfId="0" applyFont="1" applyFill="1" applyBorder="1" applyAlignment="1">
      <alignment horizontal="left" vertical="center" wrapText="1"/>
    </xf>
    <xf numFmtId="0" fontId="115" fillId="0" borderId="0" xfId="0" applyFont="1" applyFill="1" applyBorder="1" applyAlignment="1">
      <alignment vertical="center"/>
    </xf>
    <xf numFmtId="0" fontId="119" fillId="0" borderId="0" xfId="0" applyFont="1" applyFill="1" applyBorder="1" applyAlignment="1">
      <alignment horizontal="left" vertical="center" wrapText="1"/>
    </xf>
    <xf numFmtId="0" fontId="115" fillId="0" borderId="0" xfId="0" applyFont="1" applyFill="1" applyBorder="1" applyAlignment="1">
      <alignment horizontal="center" vertical="center"/>
    </xf>
    <xf numFmtId="0" fontId="115" fillId="0" borderId="0" xfId="0" applyFont="1" applyBorder="1"/>
    <xf numFmtId="0" fontId="73" fillId="34" borderId="0" xfId="0" applyFont="1" applyFill="1" applyAlignment="1">
      <alignment horizontal="center" vertical="center"/>
    </xf>
    <xf numFmtId="0" fontId="73" fillId="34" borderId="0" xfId="0" applyFont="1" applyFill="1" applyBorder="1" applyAlignment="1">
      <alignment vertical="center"/>
    </xf>
    <xf numFmtId="0" fontId="75" fillId="34" borderId="0" xfId="0" applyFont="1" applyFill="1" applyBorder="1" applyAlignment="1">
      <alignment horizontal="left" vertical="center" wrapText="1"/>
    </xf>
    <xf numFmtId="0" fontId="75" fillId="0" borderId="0" xfId="0" applyFont="1" applyFill="1" applyBorder="1" applyAlignment="1">
      <alignment horizontal="left" vertical="top" wrapText="1"/>
    </xf>
    <xf numFmtId="0" fontId="55" fillId="34" borderId="0" xfId="0" applyFont="1" applyFill="1" applyBorder="1" applyAlignment="1">
      <alignment horizontal="left" vertical="center" wrapText="1"/>
    </xf>
    <xf numFmtId="0" fontId="55" fillId="0" borderId="0" xfId="0" applyFont="1" applyFill="1" applyBorder="1" applyAlignment="1">
      <alignment horizontal="left" vertical="center" wrapText="1"/>
    </xf>
    <xf numFmtId="0" fontId="76" fillId="34" borderId="0" xfId="0" applyFont="1" applyFill="1" applyBorder="1" applyAlignment="1">
      <alignment horizontal="left" vertical="top" wrapText="1"/>
    </xf>
    <xf numFmtId="0" fontId="76" fillId="0" borderId="0" xfId="0" applyFont="1" applyFill="1" applyBorder="1" applyAlignment="1">
      <alignment horizontal="left" vertical="top" wrapText="1"/>
    </xf>
    <xf numFmtId="0" fontId="77" fillId="34" borderId="0" xfId="0" applyFont="1" applyFill="1" applyAlignment="1">
      <alignment horizontal="left"/>
    </xf>
    <xf numFmtId="0" fontId="74" fillId="0" borderId="0" xfId="0" applyFont="1" applyAlignment="1">
      <alignment horizontal="left"/>
    </xf>
    <xf numFmtId="0" fontId="29" fillId="0" borderId="0" xfId="0" applyFont="1" applyFill="1" applyAlignment="1">
      <alignment horizontal="center"/>
    </xf>
    <xf numFmtId="0" fontId="73" fillId="0" borderId="0" xfId="0" applyFont="1" applyFill="1" applyAlignment="1">
      <alignment horizontal="center" vertical="center"/>
    </xf>
    <xf numFmtId="0" fontId="77" fillId="0" borderId="0" xfId="0" applyFont="1" applyFill="1" applyAlignment="1">
      <alignment horizontal="left"/>
    </xf>
    <xf numFmtId="0" fontId="55" fillId="34" borderId="0" xfId="0" applyFont="1" applyFill="1" applyBorder="1" applyAlignment="1">
      <alignment horizontal="left" vertical="justify" wrapText="1"/>
    </xf>
    <xf numFmtId="2" fontId="15" fillId="34" borderId="0" xfId="0" applyNumberFormat="1" applyFont="1" applyFill="1" applyBorder="1" applyAlignment="1">
      <alignment horizontal="center" vertical="justify" wrapText="1"/>
    </xf>
    <xf numFmtId="0" fontId="75" fillId="34" borderId="0" xfId="0" applyFont="1" applyFill="1" applyBorder="1" applyAlignment="1">
      <alignment horizontal="left" vertical="justify" wrapText="1"/>
    </xf>
    <xf numFmtId="2" fontId="29" fillId="34" borderId="0" xfId="0" applyNumberFormat="1" applyFont="1" applyFill="1" applyAlignment="1">
      <alignment horizontal="center" vertical="justify"/>
    </xf>
    <xf numFmtId="0" fontId="55" fillId="34" borderId="12" xfId="0" applyFont="1" applyFill="1" applyBorder="1" applyAlignment="1">
      <alignment horizontal="left" vertical="center" wrapText="1"/>
    </xf>
    <xf numFmtId="0" fontId="80" fillId="0" borderId="0" xfId="0" applyFont="1" applyAlignment="1">
      <alignment vertical="center"/>
    </xf>
    <xf numFmtId="0" fontId="80" fillId="0" borderId="0" xfId="0" applyFont="1" applyFill="1"/>
    <xf numFmtId="49" fontId="26" fillId="0" borderId="0" xfId="0" applyNumberFormat="1" applyFont="1" applyFill="1" applyBorder="1" applyAlignment="1">
      <alignment vertical="center" wrapText="1"/>
    </xf>
    <xf numFmtId="0" fontId="81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2" fontId="14" fillId="0" borderId="0" xfId="0" applyNumberFormat="1" applyFont="1" applyFill="1" applyAlignment="1">
      <alignment horizontal="center"/>
    </xf>
    <xf numFmtId="0" fontId="18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wrapText="1"/>
    </xf>
    <xf numFmtId="0" fontId="14" fillId="0" borderId="0" xfId="0" applyFont="1" applyFill="1" applyAlignment="1">
      <alignment horizontal="right"/>
    </xf>
    <xf numFmtId="0" fontId="6" fillId="0" borderId="0" xfId="0" applyFont="1" applyFill="1"/>
    <xf numFmtId="0" fontId="39" fillId="0" borderId="0" xfId="0" applyFont="1" applyBorder="1" applyAlignment="1">
      <alignment wrapText="1"/>
    </xf>
    <xf numFmtId="0" fontId="12" fillId="34" borderId="0" xfId="0" applyFont="1" applyFill="1" applyAlignment="1">
      <alignment vertical="center"/>
    </xf>
    <xf numFmtId="168" fontId="12" fillId="34" borderId="0" xfId="0" applyNumberFormat="1" applyFont="1" applyFill="1" applyBorder="1" applyAlignment="1">
      <alignment horizontal="center" vertical="center" wrapText="1"/>
    </xf>
    <xf numFmtId="0" fontId="12" fillId="34" borderId="0" xfId="0" applyFont="1" applyFill="1" applyAlignment="1">
      <alignment horizontal="right" vertical="center"/>
    </xf>
    <xf numFmtId="0" fontId="16" fillId="0" borderId="0" xfId="0" applyFont="1" applyFill="1" applyBorder="1" applyAlignment="1">
      <alignment horizontal="left" vertical="center" wrapText="1"/>
    </xf>
    <xf numFmtId="0" fontId="120" fillId="34" borderId="0" xfId="0" applyFont="1" applyFill="1" applyBorder="1" applyAlignment="1">
      <alignment horizontal="center" vertical="center" wrapText="1"/>
    </xf>
    <xf numFmtId="0" fontId="34" fillId="0" borderId="0" xfId="0" applyFont="1" applyFill="1" applyAlignment="1"/>
    <xf numFmtId="0" fontId="34" fillId="0" borderId="0" xfId="0" applyFont="1" applyFill="1" applyBorder="1" applyAlignment="1">
      <alignment horizontal="right" wrapText="1"/>
    </xf>
    <xf numFmtId="2" fontId="120" fillId="34" borderId="0" xfId="0" applyNumberFormat="1" applyFont="1" applyFill="1" applyBorder="1" applyAlignment="1">
      <alignment horizontal="center" vertical="center" wrapText="1"/>
    </xf>
    <xf numFmtId="164" fontId="112" fillId="0" borderId="0" xfId="0" applyNumberFormat="1" applyFont="1" applyFill="1" applyBorder="1" applyAlignment="1">
      <alignment horizontal="center" vertical="center"/>
    </xf>
    <xf numFmtId="0" fontId="112" fillId="0" borderId="0" xfId="0" applyFont="1" applyFill="1" applyBorder="1" applyAlignment="1">
      <alignment horizontal="center" vertical="center"/>
    </xf>
    <xf numFmtId="0" fontId="83" fillId="0" borderId="0" xfId="0" applyFont="1" applyBorder="1"/>
    <xf numFmtId="0" fontId="84" fillId="0" borderId="0" xfId="0" applyFont="1" applyBorder="1" applyAlignment="1">
      <alignment wrapText="1"/>
    </xf>
    <xf numFmtId="0" fontId="83" fillId="0" borderId="0" xfId="0" applyFont="1" applyBorder="1" applyAlignment="1"/>
    <xf numFmtId="0" fontId="84" fillId="0" borderId="0" xfId="0" applyFont="1" applyBorder="1" applyAlignment="1">
      <alignment horizontal="left" wrapText="1"/>
    </xf>
    <xf numFmtId="49" fontId="84" fillId="0" borderId="0" xfId="0" applyNumberFormat="1" applyFont="1" applyBorder="1" applyAlignment="1">
      <alignment horizontal="left" wrapText="1"/>
    </xf>
    <xf numFmtId="164" fontId="83" fillId="0" borderId="0" xfId="0" applyNumberFormat="1" applyFont="1" applyBorder="1" applyAlignment="1">
      <alignment horizontal="left" wrapText="1"/>
    </xf>
    <xf numFmtId="0" fontId="83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 wrapText="1"/>
    </xf>
    <xf numFmtId="0" fontId="84" fillId="0" borderId="0" xfId="0" applyFont="1" applyBorder="1" applyAlignment="1">
      <alignment horizontal="center"/>
    </xf>
    <xf numFmtId="0" fontId="83" fillId="0" borderId="0" xfId="0" applyFont="1"/>
    <xf numFmtId="0" fontId="83" fillId="0" borderId="0" xfId="0" applyFont="1" applyBorder="1" applyAlignment="1">
      <alignment horizontal="center" wrapText="1"/>
    </xf>
    <xf numFmtId="164" fontId="83" fillId="0" borderId="0" xfId="0" applyNumberFormat="1" applyFont="1" applyBorder="1" applyAlignment="1">
      <alignment horizontal="center"/>
    </xf>
    <xf numFmtId="0" fontId="83" fillId="0" borderId="0" xfId="0" applyFont="1" applyAlignment="1"/>
    <xf numFmtId="0" fontId="14" fillId="35" borderId="0" xfId="0" applyFont="1" applyFill="1" applyBorder="1"/>
    <xf numFmtId="164" fontId="120" fillId="34" borderId="0" xfId="0" applyNumberFormat="1" applyFont="1" applyFill="1" applyBorder="1" applyAlignment="1">
      <alignment horizontal="center" vertical="center" wrapText="1"/>
    </xf>
    <xf numFmtId="164" fontId="120" fillId="0" borderId="0" xfId="0" applyNumberFormat="1" applyFont="1" applyFill="1" applyBorder="1" applyAlignment="1">
      <alignment horizontal="center" wrapText="1"/>
    </xf>
    <xf numFmtId="164" fontId="120" fillId="34" borderId="0" xfId="0" applyNumberFormat="1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vertical="center"/>
    </xf>
    <xf numFmtId="164" fontId="112" fillId="34" borderId="0" xfId="0" applyNumberFormat="1" applyFont="1" applyFill="1" applyBorder="1" applyAlignment="1">
      <alignment horizontal="center" vertical="center" wrapText="1"/>
    </xf>
    <xf numFmtId="164" fontId="112" fillId="34" borderId="0" xfId="0" applyNumberFormat="1" applyFont="1" applyFill="1" applyBorder="1" applyAlignment="1">
      <alignment horizontal="center" vertical="center"/>
    </xf>
    <xf numFmtId="164" fontId="120" fillId="0" borderId="0" xfId="0" applyNumberFormat="1" applyFont="1" applyFill="1" applyBorder="1" applyAlignment="1">
      <alignment horizontal="center" vertical="center" wrapText="1"/>
    </xf>
    <xf numFmtId="0" fontId="120" fillId="0" borderId="0" xfId="0" applyFont="1" applyFill="1" applyBorder="1" applyAlignment="1">
      <alignment horizontal="center" wrapText="1"/>
    </xf>
    <xf numFmtId="0" fontId="120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 vertical="center" wrapText="1"/>
    </xf>
    <xf numFmtId="49" fontId="14" fillId="0" borderId="0" xfId="0" applyNumberFormat="1" applyFont="1" applyFill="1"/>
    <xf numFmtId="0" fontId="20" fillId="0" borderId="0" xfId="0" applyFont="1" applyFill="1" applyBorder="1" applyAlignment="1"/>
    <xf numFmtId="0" fontId="32" fillId="0" borderId="0" xfId="0" applyFont="1" applyFill="1" applyBorder="1"/>
    <xf numFmtId="0" fontId="29" fillId="0" borderId="0" xfId="0" applyFont="1" applyFill="1" applyAlignment="1">
      <alignment horizontal="right"/>
    </xf>
    <xf numFmtId="0" fontId="29" fillId="0" borderId="2" xfId="0" quotePrefix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right"/>
    </xf>
    <xf numFmtId="0" fontId="23" fillId="0" borderId="0" xfId="0" applyFont="1" applyFill="1"/>
    <xf numFmtId="0" fontId="23" fillId="0" borderId="0" xfId="0" applyFont="1" applyFill="1" applyBorder="1"/>
    <xf numFmtId="0" fontId="26" fillId="0" borderId="0" xfId="0" applyFont="1" applyFill="1" applyAlignment="1">
      <alignment wrapText="1"/>
    </xf>
    <xf numFmtId="0" fontId="18" fillId="0" borderId="12" xfId="0" applyFont="1" applyFill="1" applyBorder="1" applyAlignment="1">
      <alignment horizontal="left" vertical="center" wrapText="1"/>
    </xf>
    <xf numFmtId="2" fontId="12" fillId="0" borderId="12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justify" wrapText="1"/>
    </xf>
    <xf numFmtId="2" fontId="12" fillId="0" borderId="0" xfId="0" applyNumberFormat="1" applyFont="1" applyFill="1" applyBorder="1" applyAlignment="1">
      <alignment horizontal="center" vertical="justify" wrapText="1"/>
    </xf>
    <xf numFmtId="0" fontId="13" fillId="0" borderId="0" xfId="0" applyFont="1" applyFill="1" applyAlignment="1">
      <alignment vertical="center"/>
    </xf>
    <xf numFmtId="164" fontId="112" fillId="0" borderId="0" xfId="0" applyNumberFormat="1" applyFont="1" applyFill="1" applyBorder="1" applyAlignment="1">
      <alignment horizontal="center" vertical="center" wrapText="1"/>
    </xf>
    <xf numFmtId="164" fontId="1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 wrapText="1"/>
    </xf>
    <xf numFmtId="2" fontId="4" fillId="0" borderId="0" xfId="0" applyNumberFormat="1" applyFont="1"/>
    <xf numFmtId="2" fontId="14" fillId="34" borderId="12" xfId="0" applyNumberFormat="1" applyFont="1" applyFill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/>
    <xf numFmtId="2" fontId="16" fillId="34" borderId="0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2" fontId="12" fillId="34" borderId="0" xfId="0" applyNumberFormat="1" applyFont="1" applyFill="1" applyBorder="1" applyAlignment="1">
      <alignment horizontal="center" vertical="justify" wrapText="1"/>
    </xf>
    <xf numFmtId="2" fontId="14" fillId="0" borderId="0" xfId="0" quotePrefix="1" applyNumberFormat="1" applyFont="1" applyFill="1" applyBorder="1" applyAlignment="1">
      <alignment horizontal="center" vertical="center" wrapText="1"/>
    </xf>
    <xf numFmtId="2" fontId="14" fillId="34" borderId="0" xfId="0" quotePrefix="1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/>
    <xf numFmtId="1" fontId="22" fillId="34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left" wrapText="1"/>
    </xf>
    <xf numFmtId="1" fontId="12" fillId="0" borderId="0" xfId="0" applyNumberFormat="1" applyFont="1" applyFill="1" applyBorder="1" applyAlignment="1">
      <alignment horizontal="right" wrapText="1"/>
    </xf>
    <xf numFmtId="164" fontId="120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166" fontId="22" fillId="0" borderId="0" xfId="0" applyNumberFormat="1" applyFont="1" applyFill="1" applyBorder="1" applyAlignment="1">
      <alignment horizontal="center" vertical="center"/>
    </xf>
    <xf numFmtId="0" fontId="83" fillId="0" borderId="0" xfId="0" applyFont="1" applyBorder="1" applyAlignment="1">
      <alignment horizontal="left" vertical="center"/>
    </xf>
    <xf numFmtId="164" fontId="14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0" fontId="84" fillId="0" borderId="0" xfId="0" applyFont="1" applyBorder="1" applyAlignment="1">
      <alignment horizontal="right" wrapText="1"/>
    </xf>
    <xf numFmtId="0" fontId="29" fillId="0" borderId="0" xfId="0" applyFont="1" applyBorder="1" applyAlignment="1">
      <alignment wrapText="1"/>
    </xf>
    <xf numFmtId="0" fontId="16" fillId="0" borderId="0" xfId="0" applyFont="1" applyFill="1" applyBorder="1" applyAlignment="1">
      <alignment horizontal="right" vertical="center" wrapText="1"/>
    </xf>
    <xf numFmtId="164" fontId="22" fillId="0" borderId="0" xfId="0" applyNumberFormat="1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/>
    </xf>
    <xf numFmtId="0" fontId="120" fillId="34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wrapText="1"/>
    </xf>
    <xf numFmtId="2" fontId="15" fillId="0" borderId="0" xfId="0" applyNumberFormat="1" applyFont="1" applyFill="1" applyBorder="1" applyAlignment="1">
      <alignment horizontal="center" wrapText="1"/>
    </xf>
    <xf numFmtId="1" fontId="15" fillId="0" borderId="0" xfId="0" applyNumberFormat="1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right" wrapText="1"/>
    </xf>
    <xf numFmtId="0" fontId="120" fillId="0" borderId="0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vertical="center"/>
    </xf>
    <xf numFmtId="164" fontId="14" fillId="0" borderId="0" xfId="0" applyNumberFormat="1" applyFont="1" applyFill="1" applyBorder="1" applyAlignment="1">
      <alignment horizontal="left" wrapText="1"/>
    </xf>
    <xf numFmtId="164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horizontal="justify" wrapText="1"/>
    </xf>
    <xf numFmtId="2" fontId="12" fillId="0" borderId="0" xfId="0" applyNumberFormat="1" applyFont="1" applyFill="1" applyBorder="1" applyAlignment="1">
      <alignment horizontal="center"/>
    </xf>
    <xf numFmtId="37" fontId="13" fillId="0" borderId="0" xfId="0" applyNumberFormat="1" applyFont="1" applyFill="1" applyBorder="1" applyAlignment="1">
      <alignment vertical="center" wrapText="1"/>
    </xf>
    <xf numFmtId="172" fontId="112" fillId="0" borderId="0" xfId="0" applyNumberFormat="1" applyFont="1" applyFill="1" applyBorder="1" applyAlignment="1">
      <alignment horizontal="center" wrapText="1"/>
    </xf>
    <xf numFmtId="164" fontId="14" fillId="0" borderId="0" xfId="0" applyNumberFormat="1" applyFont="1" applyFill="1" applyAlignment="1">
      <alignment horizontal="center"/>
    </xf>
    <xf numFmtId="164" fontId="120" fillId="34" borderId="0" xfId="0" applyNumberFormat="1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0" fontId="31" fillId="0" borderId="0" xfId="0" applyFont="1" applyFill="1"/>
    <xf numFmtId="0" fontId="30" fillId="0" borderId="0" xfId="0" applyFont="1" applyFill="1" applyBorder="1" applyAlignment="1">
      <alignment wrapText="1"/>
    </xf>
    <xf numFmtId="0" fontId="30" fillId="0" borderId="0" xfId="0" applyFont="1" applyFill="1" applyBorder="1" applyAlignment="1">
      <alignment horizontal="center" wrapText="1"/>
    </xf>
    <xf numFmtId="0" fontId="30" fillId="0" borderId="0" xfId="0" applyFont="1" applyFill="1" applyAlignment="1">
      <alignment wrapText="1"/>
    </xf>
    <xf numFmtId="0" fontId="12" fillId="0" borderId="0" xfId="0" applyFont="1" applyFill="1"/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 wrapText="1"/>
    </xf>
    <xf numFmtId="0" fontId="28" fillId="0" borderId="6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72" fillId="0" borderId="2" xfId="0" applyFont="1" applyFill="1" applyBorder="1" applyAlignment="1">
      <alignment horizontal="center" vertical="center" wrapText="1"/>
    </xf>
    <xf numFmtId="0" fontId="85" fillId="0" borderId="2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164" fontId="120" fillId="0" borderId="0" xfId="0" applyNumberFormat="1" applyFont="1" applyFill="1" applyAlignment="1">
      <alignment horizontal="right"/>
    </xf>
    <xf numFmtId="164" fontId="120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vertical="top" wrapText="1"/>
    </xf>
    <xf numFmtId="0" fontId="20" fillId="0" borderId="0" xfId="0" applyFont="1" applyFill="1" applyAlignment="1"/>
    <xf numFmtId="0" fontId="22" fillId="0" borderId="2" xfId="0" applyFont="1" applyFill="1" applyBorder="1" applyAlignment="1">
      <alignment horizontal="center"/>
    </xf>
    <xf numFmtId="0" fontId="7" fillId="0" borderId="0" xfId="0" applyFont="1" applyFill="1"/>
    <xf numFmtId="164" fontId="6" fillId="0" borderId="0" xfId="0" applyNumberFormat="1" applyFont="1" applyFill="1"/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horizontal="left"/>
    </xf>
    <xf numFmtId="164" fontId="13" fillId="0" borderId="0" xfId="0" applyNumberFormat="1" applyFont="1" applyFill="1" applyBorder="1" applyAlignment="1"/>
    <xf numFmtId="164" fontId="121" fillId="0" borderId="0" xfId="0" applyNumberFormat="1" applyFont="1" applyFill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/>
    <xf numFmtId="2" fontId="22" fillId="0" borderId="0" xfId="0" applyNumberFormat="1" applyFont="1" applyFill="1" applyBorder="1"/>
    <xf numFmtId="2" fontId="38" fillId="0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66" fontId="22" fillId="34" borderId="0" xfId="0" applyNumberFormat="1" applyFont="1" applyFill="1" applyBorder="1" applyAlignment="1">
      <alignment horizontal="center" vertical="center"/>
    </xf>
    <xf numFmtId="0" fontId="22" fillId="34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right" vertical="center"/>
    </xf>
    <xf numFmtId="3" fontId="7" fillId="0" borderId="0" xfId="137" applyNumberFormat="1" applyFont="1" applyFill="1" applyBorder="1" applyAlignment="1" applyProtection="1">
      <alignment horizontal="right"/>
    </xf>
    <xf numFmtId="3" fontId="7" fillId="0" borderId="0" xfId="137" applyNumberFormat="1" applyFont="1" applyFill="1" applyBorder="1" applyProtection="1"/>
    <xf numFmtId="3" fontId="7" fillId="0" borderId="0" xfId="137" applyNumberFormat="1" applyFont="1" applyFill="1" applyBorder="1" applyProtection="1">
      <protection locked="0"/>
    </xf>
    <xf numFmtId="174" fontId="7" fillId="0" borderId="0" xfId="137" applyNumberFormat="1" applyFont="1" applyFill="1" applyBorder="1" applyAlignment="1" applyProtection="1">
      <alignment horizontal="right"/>
    </xf>
    <xf numFmtId="0" fontId="14" fillId="34" borderId="12" xfId="0" applyFont="1" applyFill="1" applyBorder="1" applyAlignment="1">
      <alignment horizontal="right"/>
    </xf>
    <xf numFmtId="0" fontId="14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right"/>
    </xf>
    <xf numFmtId="0" fontId="14" fillId="0" borderId="0" xfId="0" applyNumberFormat="1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>
      <alignment horizontal="left" vertical="center"/>
    </xf>
    <xf numFmtId="0" fontId="22" fillId="34" borderId="0" xfId="0" applyFont="1" applyFill="1" applyBorder="1" applyAlignment="1">
      <alignment horizontal="left" vertical="center"/>
    </xf>
    <xf numFmtId="2" fontId="1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6" fillId="34" borderId="0" xfId="0" applyFont="1" applyFill="1" applyBorder="1" applyAlignment="1">
      <alignment vertical="center"/>
    </xf>
    <xf numFmtId="0" fontId="16" fillId="34" borderId="0" xfId="0" applyFont="1" applyFill="1" applyBorder="1" applyAlignment="1">
      <alignment horizontal="right" vertical="center"/>
    </xf>
    <xf numFmtId="2" fontId="39" fillId="34" borderId="0" xfId="0" applyNumberFormat="1" applyFont="1" applyFill="1" applyBorder="1" applyAlignment="1">
      <alignment horizontal="center" vertical="center"/>
    </xf>
    <xf numFmtId="2" fontId="122" fillId="34" borderId="0" xfId="0" applyNumberFormat="1" applyFont="1" applyFill="1" applyBorder="1" applyAlignment="1">
      <alignment horizontal="center" vertical="center" wrapText="1"/>
    </xf>
    <xf numFmtId="2" fontId="121" fillId="0" borderId="0" xfId="0" applyNumberFormat="1" applyFont="1" applyFill="1" applyBorder="1" applyAlignment="1">
      <alignment horizontal="center" vertical="center" wrapText="1"/>
    </xf>
    <xf numFmtId="164" fontId="12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6" fillId="34" borderId="0" xfId="0" applyFont="1" applyFill="1" applyBorder="1" applyAlignment="1">
      <alignment horizontal="right" vertical="center" wrapText="1"/>
    </xf>
    <xf numFmtId="164" fontId="121" fillId="34" borderId="0" xfId="0" applyNumberFormat="1" applyFont="1" applyFill="1" applyBorder="1" applyAlignment="1">
      <alignment horizontal="center" vertical="center" wrapText="1"/>
    </xf>
    <xf numFmtId="164" fontId="121" fillId="34" borderId="0" xfId="0" applyNumberFormat="1" applyFont="1" applyFill="1" applyBorder="1" applyAlignment="1">
      <alignment horizontal="center" wrapText="1"/>
    </xf>
    <xf numFmtId="0" fontId="12" fillId="34" borderId="0" xfId="0" applyFont="1" applyFill="1" applyBorder="1" applyAlignment="1">
      <alignment vertical="center"/>
    </xf>
    <xf numFmtId="0" fontId="12" fillId="34" borderId="0" xfId="0" applyFont="1" applyFill="1" applyBorder="1" applyAlignment="1">
      <alignment horizontal="right" vertical="center"/>
    </xf>
    <xf numFmtId="2" fontId="120" fillId="0" borderId="0" xfId="0" applyNumberFormat="1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left" vertical="center"/>
    </xf>
    <xf numFmtId="0" fontId="66" fillId="34" borderId="0" xfId="0" applyFont="1" applyFill="1" applyBorder="1" applyAlignment="1">
      <alignment horizontal="left" vertical="center"/>
    </xf>
    <xf numFmtId="0" fontId="66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29" fillId="0" borderId="0" xfId="0" applyFont="1" applyFill="1" applyBorder="1" applyAlignment="1">
      <alignment horizontal="left"/>
    </xf>
    <xf numFmtId="0" fontId="29" fillId="34" borderId="0" xfId="0" applyFont="1" applyFill="1" applyBorder="1" applyAlignment="1">
      <alignment horizontal="left"/>
    </xf>
    <xf numFmtId="0" fontId="16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164" fontId="121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4" fillId="0" borderId="0" xfId="196" applyFont="1" applyFill="1" applyBorder="1" applyAlignment="1">
      <alignment horizontal="left"/>
    </xf>
    <xf numFmtId="0" fontId="34" fillId="0" borderId="0" xfId="0" applyFont="1" applyBorder="1" applyAlignment="1">
      <alignment vertical="top" wrapText="1"/>
    </xf>
    <xf numFmtId="0" fontId="123" fillId="0" borderId="0" xfId="0" applyFont="1" applyFill="1" applyBorder="1" applyAlignment="1">
      <alignment vertical="center"/>
    </xf>
    <xf numFmtId="0" fontId="123" fillId="0" borderId="0" xfId="0" applyFont="1" applyFill="1" applyBorder="1" applyAlignment="1">
      <alignment vertical="center" wrapText="1"/>
    </xf>
    <xf numFmtId="0" fontId="123" fillId="0" borderId="0" xfId="0" applyFont="1" applyFill="1" applyAlignment="1">
      <alignment vertical="center"/>
    </xf>
    <xf numFmtId="0" fontId="123" fillId="0" borderId="1" xfId="0" applyFont="1" applyFill="1" applyBorder="1" applyAlignment="1">
      <alignment horizontal="center" vertical="center"/>
    </xf>
    <xf numFmtId="0" fontId="123" fillId="0" borderId="1" xfId="0" applyFont="1" applyFill="1" applyBorder="1" applyAlignment="1">
      <alignment vertical="center"/>
    </xf>
    <xf numFmtId="0" fontId="123" fillId="0" borderId="1" xfId="0" applyFont="1" applyFill="1" applyBorder="1" applyAlignment="1">
      <alignment horizontal="right" vertical="center"/>
    </xf>
    <xf numFmtId="0" fontId="124" fillId="0" borderId="0" xfId="0" applyFont="1" applyFill="1" applyAlignment="1">
      <alignment vertical="center"/>
    </xf>
    <xf numFmtId="0" fontId="125" fillId="0" borderId="0" xfId="0" applyFont="1" applyFill="1" applyAlignment="1">
      <alignment horizontal="center" vertical="center"/>
    </xf>
    <xf numFmtId="0" fontId="126" fillId="0" borderId="0" xfId="0" applyFont="1" applyFill="1" applyAlignment="1">
      <alignment vertical="center" wrapText="1"/>
    </xf>
    <xf numFmtId="0" fontId="127" fillId="0" borderId="2" xfId="0" applyFont="1" applyFill="1" applyBorder="1" applyAlignment="1">
      <alignment horizontal="center" vertical="center" wrapText="1"/>
    </xf>
    <xf numFmtId="0" fontId="128" fillId="0" borderId="2" xfId="0" applyFont="1" applyFill="1" applyBorder="1" applyAlignment="1">
      <alignment horizontal="center" vertical="center" wrapText="1"/>
    </xf>
    <xf numFmtId="0" fontId="129" fillId="0" borderId="0" xfId="0" applyFont="1" applyFill="1" applyAlignment="1">
      <alignment vertical="center"/>
    </xf>
    <xf numFmtId="0" fontId="131" fillId="0" borderId="0" xfId="0" applyFont="1" applyFill="1" applyAlignment="1">
      <alignment vertical="center"/>
    </xf>
    <xf numFmtId="0" fontId="132" fillId="0" borderId="0" xfId="0" applyFont="1" applyFill="1"/>
    <xf numFmtId="0" fontId="112" fillId="0" borderId="0" xfId="0" applyFont="1" applyFill="1" applyBorder="1"/>
    <xf numFmtId="0" fontId="120" fillId="0" borderId="21" xfId="0" applyFont="1" applyFill="1" applyBorder="1" applyAlignment="1">
      <alignment horizontal="left" wrapText="1"/>
    </xf>
    <xf numFmtId="0" fontId="120" fillId="34" borderId="21" xfId="0" applyFont="1" applyFill="1" applyBorder="1" applyAlignment="1">
      <alignment horizontal="left" wrapText="1"/>
    </xf>
    <xf numFmtId="0" fontId="112" fillId="0" borderId="0" xfId="0" applyFont="1" applyFill="1"/>
    <xf numFmtId="0" fontId="122" fillId="0" borderId="0" xfId="0" applyFont="1" applyFill="1"/>
    <xf numFmtId="0" fontId="133" fillId="0" borderId="0" xfId="0" applyFont="1" applyFill="1"/>
    <xf numFmtId="0" fontId="12" fillId="0" borderId="0" xfId="0" applyFont="1" applyFill="1" applyAlignment="1">
      <alignment vertical="center"/>
    </xf>
    <xf numFmtId="168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right" vertical="center"/>
    </xf>
    <xf numFmtId="2" fontId="47" fillId="0" borderId="0" xfId="0" applyNumberFormat="1" applyFont="1" applyFill="1" applyBorder="1" applyAlignment="1">
      <alignment horizontal="center" vertical="center"/>
    </xf>
    <xf numFmtId="0" fontId="12" fillId="34" borderId="0" xfId="0" applyFont="1" applyFill="1" applyBorder="1" applyAlignment="1">
      <alignment horizontal="left" vertical="center"/>
    </xf>
    <xf numFmtId="0" fontId="14" fillId="34" borderId="0" xfId="136" applyNumberFormat="1" applyFont="1" applyFill="1" applyBorder="1" applyAlignment="1">
      <alignment horizontal="center" vertical="center"/>
    </xf>
    <xf numFmtId="2" fontId="47" fillId="34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Alignment="1"/>
    <xf numFmtId="164" fontId="14" fillId="0" borderId="0" xfId="0" applyNumberFormat="1" applyFont="1" applyFill="1" applyBorder="1" applyAlignment="1"/>
    <xf numFmtId="0" fontId="112" fillId="0" borderId="0" xfId="0" applyFont="1" applyFill="1" applyBorder="1" applyAlignment="1">
      <alignment horizontal="center"/>
    </xf>
    <xf numFmtId="0" fontId="14" fillId="34" borderId="0" xfId="0" applyFont="1" applyFill="1" applyBorder="1" applyAlignment="1"/>
    <xf numFmtId="0" fontId="122" fillId="0" borderId="0" xfId="0" applyFont="1" applyFill="1" applyBorder="1" applyAlignment="1">
      <alignment horizontal="center"/>
    </xf>
    <xf numFmtId="164" fontId="122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vertical="center"/>
    </xf>
    <xf numFmtId="0" fontId="112" fillId="0" borderId="0" xfId="0" applyFont="1" applyFill="1" applyAlignment="1">
      <alignment horizontal="right" vertical="center" readingOrder="1"/>
    </xf>
    <xf numFmtId="164" fontId="112" fillId="0" borderId="0" xfId="0" applyNumberFormat="1" applyFont="1" applyFill="1" applyAlignment="1">
      <alignment horizontal="right" vertical="center" readingOrder="1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167" fontId="14" fillId="34" borderId="12" xfId="0" applyNumberFormat="1" applyFont="1" applyFill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49" fontId="14" fillId="34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171" fontId="14" fillId="34" borderId="0" xfId="0" applyNumberFormat="1" applyFont="1" applyFill="1" applyBorder="1" applyAlignment="1">
      <alignment horizontal="center" vertical="center"/>
    </xf>
    <xf numFmtId="0" fontId="14" fillId="34" borderId="0" xfId="0" applyNumberFormat="1" applyFont="1" applyFill="1" applyBorder="1" applyAlignment="1">
      <alignment horizontal="center" vertical="center"/>
    </xf>
    <xf numFmtId="170" fontId="14" fillId="34" borderId="0" xfId="0" applyNumberFormat="1" applyFont="1" applyFill="1" applyBorder="1" applyAlignment="1">
      <alignment horizontal="center" vertical="center"/>
    </xf>
    <xf numFmtId="171" fontId="14" fillId="0" borderId="0" xfId="0" applyNumberFormat="1" applyFont="1" applyBorder="1" applyAlignment="1">
      <alignment horizontal="right" vertical="center"/>
    </xf>
    <xf numFmtId="171" fontId="14" fillId="0" borderId="0" xfId="0" applyNumberFormat="1" applyFont="1" applyBorder="1" applyAlignment="1">
      <alignment horizontal="center" vertical="center"/>
    </xf>
    <xf numFmtId="49" fontId="112" fillId="0" borderId="0" xfId="0" applyNumberFormat="1" applyFont="1" applyBorder="1" applyAlignment="1">
      <alignment horizontal="center" vertical="center"/>
    </xf>
    <xf numFmtId="1" fontId="112" fillId="0" borderId="0" xfId="0" applyNumberFormat="1" applyFont="1" applyBorder="1" applyAlignment="1">
      <alignment horizontal="center" vertical="center"/>
    </xf>
    <xf numFmtId="170" fontId="14" fillId="34" borderId="12" xfId="0" applyNumberFormat="1" applyFont="1" applyFill="1" applyBorder="1" applyAlignment="1">
      <alignment horizontal="center" vertical="center"/>
    </xf>
    <xf numFmtId="49" fontId="14" fillId="34" borderId="12" xfId="0" applyNumberFormat="1" applyFont="1" applyFill="1" applyBorder="1" applyAlignment="1">
      <alignment horizontal="center" vertical="center"/>
    </xf>
    <xf numFmtId="2" fontId="112" fillId="0" borderId="0" xfId="0" applyNumberFormat="1" applyFont="1" applyFill="1" applyAlignment="1">
      <alignment horizontal="right" vertical="center" readingOrder="1"/>
    </xf>
    <xf numFmtId="0" fontId="12" fillId="34" borderId="0" xfId="0" applyFont="1" applyFill="1" applyBorder="1" applyAlignment="1">
      <alignment horizontal="left" vertical="center" wrapText="1"/>
    </xf>
    <xf numFmtId="0" fontId="112" fillId="0" borderId="0" xfId="0" applyFont="1" applyFill="1" applyBorder="1" applyAlignment="1">
      <alignment horizontal="right" readingOrder="1"/>
    </xf>
    <xf numFmtId="164" fontId="112" fillId="0" borderId="0" xfId="0" applyNumberFormat="1" applyFont="1" applyFill="1" applyBorder="1" applyAlignment="1">
      <alignment horizontal="right" readingOrder="1"/>
    </xf>
    <xf numFmtId="0" fontId="112" fillId="34" borderId="0" xfId="0" applyFont="1" applyFill="1" applyBorder="1" applyAlignment="1">
      <alignment horizontal="right" readingOrder="1"/>
    </xf>
    <xf numFmtId="164" fontId="112" fillId="34" borderId="0" xfId="0" applyNumberFormat="1" applyFont="1" applyFill="1" applyBorder="1" applyAlignment="1">
      <alignment horizontal="right" readingOrder="1"/>
    </xf>
    <xf numFmtId="0" fontId="112" fillId="34" borderId="0" xfId="0" applyFont="1" applyFill="1" applyBorder="1"/>
    <xf numFmtId="0" fontId="126" fillId="0" borderId="0" xfId="0" applyFont="1" applyFill="1"/>
    <xf numFmtId="0" fontId="125" fillId="0" borderId="0" xfId="0" applyFont="1" applyFill="1" applyBorder="1" applyAlignment="1">
      <alignment vertical="center"/>
    </xf>
    <xf numFmtId="0" fontId="125" fillId="0" borderId="0" xfId="0" applyFont="1" applyFill="1" applyAlignment="1">
      <alignment vertical="center"/>
    </xf>
    <xf numFmtId="0" fontId="112" fillId="0" borderId="23" xfId="0" applyFont="1" applyFill="1" applyBorder="1" applyAlignment="1">
      <alignment horizontal="right" readingOrder="1"/>
    </xf>
    <xf numFmtId="0" fontId="112" fillId="34" borderId="23" xfId="0" applyFont="1" applyFill="1" applyBorder="1" applyAlignment="1">
      <alignment horizontal="right" readingOrder="1"/>
    </xf>
    <xf numFmtId="0" fontId="121" fillId="34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121" fillId="0" borderId="0" xfId="0" applyFont="1" applyFill="1" applyBorder="1" applyAlignment="1">
      <alignment horizontal="left" vertical="center" wrapText="1"/>
    </xf>
    <xf numFmtId="0" fontId="112" fillId="0" borderId="0" xfId="0" applyFont="1" applyFill="1" applyBorder="1" applyAlignment="1">
      <alignment horizontal="right" vertical="center" readingOrder="1"/>
    </xf>
    <xf numFmtId="2" fontId="129" fillId="34" borderId="0" xfId="198" applyNumberFormat="1" applyFont="1" applyFill="1" applyBorder="1" applyAlignment="1">
      <alignment horizontal="center"/>
    </xf>
    <xf numFmtId="2" fontId="129" fillId="0" borderId="0" xfId="198" applyNumberFormat="1" applyFont="1" applyFill="1" applyBorder="1" applyAlignment="1">
      <alignment horizontal="center"/>
    </xf>
    <xf numFmtId="0" fontId="14" fillId="34" borderId="0" xfId="196" applyFont="1" applyFill="1" applyBorder="1" applyAlignment="1">
      <alignment horizontal="left" vertical="center"/>
    </xf>
    <xf numFmtId="2" fontId="12" fillId="34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wrapText="1"/>
    </xf>
    <xf numFmtId="0" fontId="111" fillId="0" borderId="0" xfId="0" applyFont="1" applyBorder="1"/>
    <xf numFmtId="0" fontId="19" fillId="0" borderId="0" xfId="0" applyFont="1" applyBorder="1" applyAlignment="1">
      <alignment horizontal="right" wrapText="1"/>
    </xf>
    <xf numFmtId="0" fontId="19" fillId="0" borderId="0" xfId="0" applyFont="1" applyBorder="1" applyAlignment="1">
      <alignment wrapText="1"/>
    </xf>
    <xf numFmtId="0" fontId="134" fillId="0" borderId="0" xfId="0" applyFont="1" applyBorder="1"/>
    <xf numFmtId="0" fontId="135" fillId="0" borderId="0" xfId="0" applyFont="1" applyFill="1" applyBorder="1" applyAlignment="1">
      <alignment horizontal="left" wrapText="1"/>
    </xf>
    <xf numFmtId="175" fontId="14" fillId="0" borderId="0" xfId="0" applyNumberFormat="1" applyFont="1"/>
    <xf numFmtId="175" fontId="6" fillId="0" borderId="0" xfId="0" applyNumberFormat="1" applyFont="1" applyBorder="1"/>
    <xf numFmtId="176" fontId="6" fillId="0" borderId="0" xfId="0" applyNumberFormat="1" applyFont="1" applyBorder="1"/>
    <xf numFmtId="2" fontId="0" fillId="0" borderId="0" xfId="0" applyNumberFormat="1"/>
    <xf numFmtId="0" fontId="22" fillId="34" borderId="0" xfId="196" applyFont="1" applyFill="1" applyBorder="1" applyAlignment="1">
      <alignment horizontal="left" vertical="center"/>
    </xf>
    <xf numFmtId="0" fontId="22" fillId="0" borderId="0" xfId="136" applyNumberFormat="1" applyFont="1" applyFill="1" applyBorder="1" applyAlignment="1">
      <alignment horizontal="center" vertical="center"/>
    </xf>
    <xf numFmtId="2" fontId="22" fillId="0" borderId="0" xfId="136" applyNumberFormat="1" applyFont="1" applyFill="1" applyBorder="1" applyAlignment="1">
      <alignment horizontal="center" vertical="center"/>
    </xf>
    <xf numFmtId="165" fontId="14" fillId="0" borderId="0" xfId="0" applyNumberFormat="1" applyFont="1"/>
    <xf numFmtId="167" fontId="14" fillId="34" borderId="0" xfId="0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top"/>
    </xf>
    <xf numFmtId="0" fontId="12" fillId="34" borderId="0" xfId="0" applyFont="1" applyFill="1" applyBorder="1" applyAlignment="1">
      <alignment horizontal="center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right" vertical="center" wrapText="1"/>
    </xf>
    <xf numFmtId="1" fontId="13" fillId="0" borderId="0" xfId="0" applyNumberFormat="1" applyFont="1"/>
    <xf numFmtId="0" fontId="16" fillId="34" borderId="0" xfId="0" applyFont="1" applyFill="1" applyBorder="1" applyAlignment="1">
      <alignment horizontal="left" vertical="center"/>
    </xf>
    <xf numFmtId="2" fontId="121" fillId="34" borderId="0" xfId="0" applyNumberFormat="1" applyFont="1" applyFill="1" applyBorder="1" applyAlignment="1">
      <alignment horizontal="center" vertical="center" wrapText="1"/>
    </xf>
    <xf numFmtId="2" fontId="122" fillId="0" borderId="0" xfId="0" applyNumberFormat="1" applyFont="1" applyFill="1" applyBorder="1" applyAlignment="1">
      <alignment horizontal="center" vertical="center" wrapText="1"/>
    </xf>
    <xf numFmtId="1" fontId="121" fillId="0" borderId="0" xfId="0" applyNumberFormat="1" applyFont="1" applyFill="1" applyBorder="1" applyAlignment="1">
      <alignment horizontal="center" vertical="center" wrapText="1"/>
    </xf>
    <xf numFmtId="0" fontId="29" fillId="34" borderId="12" xfId="0" applyFont="1" applyFill="1" applyBorder="1" applyAlignment="1">
      <alignment horizontal="center"/>
    </xf>
    <xf numFmtId="164" fontId="13" fillId="0" borderId="0" xfId="0" applyNumberFormat="1" applyFont="1" applyFill="1"/>
    <xf numFmtId="0" fontId="14" fillId="34" borderId="0" xfId="136" quotePrefix="1" applyNumberFormat="1" applyFont="1" applyFill="1" applyBorder="1" applyAlignment="1">
      <alignment horizontal="center" vertical="center"/>
    </xf>
    <xf numFmtId="0" fontId="80" fillId="0" borderId="0" xfId="0" applyFont="1" applyAlignment="1">
      <alignment horizontal="left"/>
    </xf>
    <xf numFmtId="0" fontId="15" fillId="0" borderId="1" xfId="0" applyFont="1" applyBorder="1" applyAlignment="1"/>
    <xf numFmtId="0" fontId="12" fillId="34" borderId="0" xfId="0" applyFont="1" applyFill="1" applyBorder="1" applyAlignment="1">
      <alignment horizontal="center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4" fillId="0" borderId="0" xfId="136" quotePrefix="1" applyNumberFormat="1" applyFont="1" applyFill="1" applyBorder="1" applyAlignment="1">
      <alignment horizontal="center" vertical="center"/>
    </xf>
    <xf numFmtId="0" fontId="12" fillId="34" borderId="12" xfId="0" applyFont="1" applyFill="1" applyBorder="1" applyAlignment="1">
      <alignment horizontal="center" vertical="center" wrapText="1"/>
    </xf>
    <xf numFmtId="0" fontId="22" fillId="34" borderId="0" xfId="136" applyNumberFormat="1" applyFont="1" applyFill="1" applyBorder="1" applyAlignment="1">
      <alignment horizontal="center" vertical="center"/>
    </xf>
    <xf numFmtId="2" fontId="22" fillId="34" borderId="0" xfId="136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8" fillId="0" borderId="24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12" fillId="0" borderId="0" xfId="0" applyNumberFormat="1" applyFont="1" applyBorder="1" applyAlignment="1">
      <alignment horizontal="right"/>
    </xf>
    <xf numFmtId="2" fontId="24" fillId="0" borderId="0" xfId="0" applyNumberFormat="1" applyFont="1"/>
    <xf numFmtId="2" fontId="14" fillId="0" borderId="0" xfId="0" applyNumberFormat="1" applyFont="1" applyAlignment="1">
      <alignment horizontal="right"/>
    </xf>
    <xf numFmtId="0" fontId="26" fillId="0" borderId="24" xfId="0" applyFont="1" applyFill="1" applyBorder="1" applyAlignment="1">
      <alignment horizontal="center" vertical="center" wrapText="1"/>
    </xf>
    <xf numFmtId="0" fontId="18" fillId="0" borderId="25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2" fontId="14" fillId="0" borderId="0" xfId="0" applyNumberFormat="1" applyFont="1" applyBorder="1" applyAlignment="1">
      <alignment horizontal="right"/>
    </xf>
    <xf numFmtId="0" fontId="29" fillId="0" borderId="4" xfId="0" applyFont="1" applyFill="1" applyBorder="1" applyAlignment="1">
      <alignment wrapText="1"/>
    </xf>
    <xf numFmtId="2" fontId="14" fillId="0" borderId="0" xfId="0" applyNumberFormat="1" applyFont="1" applyFill="1" applyBorder="1" applyAlignment="1">
      <alignment horizontal="right"/>
    </xf>
    <xf numFmtId="164" fontId="14" fillId="0" borderId="12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top" wrapText="1"/>
    </xf>
    <xf numFmtId="0" fontId="18" fillId="0" borderId="0" xfId="0" applyFont="1" applyFill="1"/>
    <xf numFmtId="0" fontId="12" fillId="0" borderId="0" xfId="0" applyFont="1" applyFill="1" applyBorder="1" applyAlignment="1">
      <alignment horizontal="left" vertical="center" wrapText="1"/>
    </xf>
    <xf numFmtId="0" fontId="17" fillId="0" borderId="0" xfId="0" applyFont="1" applyAlignment="1"/>
    <xf numFmtId="164" fontId="14" fillId="34" borderId="12" xfId="0" applyNumberFormat="1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/>
    </xf>
    <xf numFmtId="0" fontId="33" fillId="0" borderId="0" xfId="0" applyFont="1" applyBorder="1" applyAlignment="1">
      <alignment horizontal="left"/>
    </xf>
    <xf numFmtId="164" fontId="14" fillId="34" borderId="0" xfId="0" applyNumberFormat="1" applyFont="1" applyFill="1" applyAlignment="1">
      <alignment horizontal="center"/>
    </xf>
    <xf numFmtId="164" fontId="12" fillId="34" borderId="0" xfId="0" applyNumberFormat="1" applyFont="1" applyFill="1" applyBorder="1" applyAlignment="1">
      <alignment horizontal="center" wrapText="1"/>
    </xf>
    <xf numFmtId="164" fontId="120" fillId="34" borderId="0" xfId="0" applyNumberFormat="1" applyFont="1" applyFill="1" applyAlignment="1">
      <alignment horizontal="right"/>
    </xf>
    <xf numFmtId="164" fontId="120" fillId="34" borderId="0" xfId="0" applyNumberFormat="1" applyFont="1" applyFill="1" applyBorder="1" applyAlignment="1">
      <alignment horizontal="right"/>
    </xf>
    <xf numFmtId="164" fontId="121" fillId="34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Border="1" applyAlignment="1">
      <alignment horizontal="left" wrapText="1"/>
    </xf>
    <xf numFmtId="1" fontId="12" fillId="0" borderId="0" xfId="0" applyNumberFormat="1" applyFont="1" applyBorder="1" applyAlignment="1">
      <alignment horizontal="right" wrapText="1"/>
    </xf>
    <xf numFmtId="1" fontId="12" fillId="0" borderId="0" xfId="0" applyNumberFormat="1" applyFont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vertical="center"/>
    </xf>
    <xf numFmtId="2" fontId="40" fillId="0" borderId="0" xfId="0" applyNumberFormat="1" applyFont="1" applyFill="1" applyBorder="1" applyAlignment="1">
      <alignment horizontal="center" vertical="center" wrapText="1"/>
    </xf>
    <xf numFmtId="1" fontId="47" fillId="34" borderId="0" xfId="0" applyNumberFormat="1" applyFont="1" applyFill="1" applyBorder="1" applyAlignment="1">
      <alignment horizontal="center" vertical="center"/>
    </xf>
    <xf numFmtId="0" fontId="129" fillId="34" borderId="0" xfId="0" applyFont="1" applyFill="1" applyBorder="1" applyAlignment="1">
      <alignment horizontal="right" readingOrder="1"/>
    </xf>
    <xf numFmtId="0" fontId="129" fillId="0" borderId="0" xfId="0" applyFont="1" applyFill="1" applyBorder="1" applyAlignment="1">
      <alignment horizontal="right" readingOrder="1"/>
    </xf>
    <xf numFmtId="0" fontId="24" fillId="0" borderId="0" xfId="202" applyFont="1" applyAlignment="1"/>
    <xf numFmtId="0" fontId="83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0" borderId="0" xfId="0" applyFont="1" applyBorder="1" applyAlignment="1">
      <alignment vertical="center"/>
    </xf>
    <xf numFmtId="164" fontId="121" fillId="34" borderId="0" xfId="0" applyNumberFormat="1" applyFont="1" applyFill="1" applyBorder="1" applyAlignment="1">
      <alignment horizontal="left" wrapText="1"/>
    </xf>
    <xf numFmtId="0" fontId="14" fillId="0" borderId="0" xfId="0" applyFont="1" applyBorder="1" applyAlignment="1">
      <alignment horizontal="left"/>
    </xf>
    <xf numFmtId="2" fontId="13" fillId="0" borderId="0" xfId="0" applyNumberFormat="1" applyFont="1" applyBorder="1" applyAlignment="1"/>
    <xf numFmtId="2" fontId="13" fillId="0" borderId="0" xfId="0" applyNumberFormat="1" applyFont="1" applyFill="1" applyBorder="1" applyAlignment="1"/>
    <xf numFmtId="2" fontId="13" fillId="0" borderId="0" xfId="0" applyNumberFormat="1" applyFont="1" applyBorder="1" applyAlignment="1">
      <alignment horizontal="left"/>
    </xf>
    <xf numFmtId="0" fontId="12" fillId="0" borderId="0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1" fontId="121" fillId="34" borderId="0" xfId="0" applyNumberFormat="1" applyFont="1" applyFill="1" applyBorder="1" applyAlignment="1">
      <alignment horizontal="center" vertical="center" wrapText="1"/>
    </xf>
    <xf numFmtId="0" fontId="121" fillId="0" borderId="0" xfId="0" applyFont="1" applyFill="1" applyBorder="1" applyAlignment="1">
      <alignment horizontal="center" vertical="center" wrapText="1"/>
    </xf>
    <xf numFmtId="2" fontId="22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>
      <alignment wrapText="1"/>
    </xf>
    <xf numFmtId="0" fontId="112" fillId="34" borderId="21" xfId="0" applyFont="1" applyFill="1" applyBorder="1"/>
    <xf numFmtId="0" fontId="112" fillId="0" borderId="21" xfId="0" applyFont="1" applyFill="1" applyBorder="1"/>
    <xf numFmtId="0" fontId="12" fillId="34" borderId="0" xfId="0" applyFont="1" applyFill="1" applyBorder="1"/>
    <xf numFmtId="0" fontId="12" fillId="34" borderId="0" xfId="0" applyFont="1" applyFill="1" applyBorder="1" applyAlignment="1">
      <alignment horizontal="right"/>
    </xf>
    <xf numFmtId="0" fontId="29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 wrapText="1"/>
    </xf>
    <xf numFmtId="2" fontId="142" fillId="0" borderId="0" xfId="0" applyNumberFormat="1" applyFont="1" applyBorder="1" applyAlignment="1">
      <alignment wrapText="1"/>
    </xf>
    <xf numFmtId="0" fontId="143" fillId="0" borderId="0" xfId="0" applyFont="1" applyBorder="1" applyAlignment="1">
      <alignment wrapText="1"/>
    </xf>
    <xf numFmtId="2" fontId="144" fillId="0" borderId="0" xfId="0" applyNumberFormat="1" applyFont="1" applyBorder="1"/>
    <xf numFmtId="2" fontId="32" fillId="0" borderId="0" xfId="0" applyNumberFormat="1" applyFont="1" applyBorder="1"/>
    <xf numFmtId="0" fontId="144" fillId="0" borderId="0" xfId="0" applyFont="1" applyBorder="1"/>
    <xf numFmtId="0" fontId="151" fillId="2" borderId="0" xfId="0" applyFont="1" applyFill="1" applyBorder="1"/>
    <xf numFmtId="0" fontId="152" fillId="0" borderId="0" xfId="0" applyFont="1" applyBorder="1" applyAlignment="1">
      <alignment wrapText="1"/>
    </xf>
    <xf numFmtId="0" fontId="151" fillId="2" borderId="12" xfId="0" applyFont="1" applyFill="1" applyBorder="1"/>
    <xf numFmtId="0" fontId="153" fillId="0" borderId="16" xfId="0" applyFont="1" applyBorder="1" applyAlignment="1">
      <alignment vertical="top" wrapText="1"/>
    </xf>
    <xf numFmtId="0" fontId="152" fillId="0" borderId="0" xfId="0" applyFont="1" applyBorder="1"/>
    <xf numFmtId="0" fontId="152" fillId="2" borderId="16" xfId="0" applyFont="1" applyFill="1" applyBorder="1"/>
    <xf numFmtId="0" fontId="152" fillId="2" borderId="0" xfId="0" applyFont="1" applyFill="1" applyBorder="1"/>
    <xf numFmtId="0" fontId="152" fillId="2" borderId="17" xfId="0" applyFont="1" applyFill="1" applyBorder="1"/>
    <xf numFmtId="0" fontId="152" fillId="0" borderId="16" xfId="0" applyFont="1" applyBorder="1" applyAlignment="1">
      <alignment wrapText="1"/>
    </xf>
    <xf numFmtId="0" fontId="152" fillId="2" borderId="0" xfId="0" applyFont="1" applyFill="1"/>
    <xf numFmtId="0" fontId="152" fillId="2" borderId="18" xfId="0" applyFont="1" applyFill="1" applyBorder="1"/>
    <xf numFmtId="0" fontId="152" fillId="2" borderId="12" xfId="0" applyFont="1" applyFill="1" applyBorder="1"/>
    <xf numFmtId="0" fontId="152" fillId="2" borderId="19" xfId="0" applyFont="1" applyFill="1" applyBorder="1"/>
    <xf numFmtId="0" fontId="155" fillId="0" borderId="16" xfId="0" applyFont="1" applyFill="1" applyBorder="1"/>
    <xf numFmtId="0" fontId="71" fillId="0" borderId="0" xfId="0" applyFont="1" applyFill="1" applyBorder="1"/>
    <xf numFmtId="0" fontId="71" fillId="0" borderId="17" xfId="0" applyFont="1" applyFill="1" applyBorder="1"/>
    <xf numFmtId="0" fontId="155" fillId="2" borderId="16" xfId="0" applyFont="1" applyFill="1" applyBorder="1"/>
    <xf numFmtId="0" fontId="71" fillId="2" borderId="0" xfId="0" applyFont="1" applyFill="1" applyBorder="1"/>
    <xf numFmtId="0" fontId="71" fillId="2" borderId="17" xfId="0" applyFont="1" applyFill="1" applyBorder="1"/>
    <xf numFmtId="0" fontId="156" fillId="2" borderId="0" xfId="0" applyFont="1" applyFill="1" applyBorder="1"/>
    <xf numFmtId="0" fontId="157" fillId="0" borderId="0" xfId="0" applyFont="1" applyBorder="1" applyAlignment="1">
      <alignment horizontal="center"/>
    </xf>
    <xf numFmtId="0" fontId="150" fillId="0" borderId="0" xfId="0" applyFont="1" applyBorder="1" applyAlignment="1">
      <alignment horizontal="center"/>
    </xf>
    <xf numFmtId="0" fontId="160" fillId="0" borderId="13" xfId="0" applyFont="1" applyFill="1" applyBorder="1"/>
    <xf numFmtId="0" fontId="160" fillId="0" borderId="14" xfId="0" applyFont="1" applyFill="1" applyBorder="1"/>
    <xf numFmtId="0" fontId="160" fillId="0" borderId="15" xfId="0" applyFont="1" applyFill="1" applyBorder="1"/>
    <xf numFmtId="0" fontId="161" fillId="2" borderId="16" xfId="0" applyFont="1" applyFill="1" applyBorder="1"/>
    <xf numFmtId="0" fontId="161" fillId="2" borderId="0" xfId="0" applyFont="1" applyFill="1" applyBorder="1"/>
    <xf numFmtId="0" fontId="161" fillId="2" borderId="17" xfId="0" applyFont="1" applyFill="1" applyBorder="1"/>
    <xf numFmtId="0" fontId="160" fillId="2" borderId="16" xfId="0" applyFont="1" applyFill="1" applyBorder="1"/>
    <xf numFmtId="0" fontId="160" fillId="2" borderId="0" xfId="0" applyFont="1" applyFill="1" applyBorder="1"/>
    <xf numFmtId="0" fontId="160" fillId="2" borderId="17" xfId="0" applyFont="1" applyFill="1" applyBorder="1"/>
    <xf numFmtId="2" fontId="16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top"/>
    </xf>
    <xf numFmtId="49" fontId="33" fillId="0" borderId="0" xfId="0" applyNumberFormat="1" applyFont="1" applyAlignment="1">
      <alignment vertical="center"/>
    </xf>
    <xf numFmtId="0" fontId="13" fillId="0" borderId="0" xfId="0" applyFont="1" applyBorder="1" applyAlignment="1">
      <alignment vertical="justify" wrapText="1"/>
    </xf>
    <xf numFmtId="0" fontId="29" fillId="0" borderId="2" xfId="0" applyFont="1" applyFill="1" applyBorder="1" applyAlignment="1">
      <alignment horizontal="center" vertical="top" wrapText="1"/>
    </xf>
    <xf numFmtId="0" fontId="33" fillId="0" borderId="0" xfId="0" applyFont="1" applyBorder="1" applyAlignment="1"/>
    <xf numFmtId="0" fontId="18" fillId="0" borderId="0" xfId="0" applyFont="1" applyBorder="1" applyAlignment="1"/>
    <xf numFmtId="0" fontId="14" fillId="34" borderId="0" xfId="0" applyFont="1" applyFill="1"/>
    <xf numFmtId="0" fontId="14" fillId="34" borderId="0" xfId="0" applyFont="1" applyFill="1" applyAlignment="1">
      <alignment horizontal="right"/>
    </xf>
    <xf numFmtId="0" fontId="126" fillId="0" borderId="0" xfId="232" applyFont="1" applyBorder="1"/>
    <xf numFmtId="0" fontId="126" fillId="0" borderId="0" xfId="232" applyFont="1"/>
    <xf numFmtId="0" fontId="162" fillId="0" borderId="0" xfId="0" applyFont="1" applyBorder="1" applyAlignment="1">
      <alignment wrapText="1"/>
    </xf>
    <xf numFmtId="0" fontId="163" fillId="0" borderId="0" xfId="0" applyFont="1"/>
    <xf numFmtId="0" fontId="164" fillId="0" borderId="0" xfId="0" applyFont="1" applyAlignment="1">
      <alignment horizontal="left"/>
    </xf>
    <xf numFmtId="0" fontId="126" fillId="0" borderId="0" xfId="0" applyFont="1" applyFill="1" applyBorder="1"/>
    <xf numFmtId="0" fontId="165" fillId="0" borderId="0" xfId="0" applyFont="1" applyBorder="1" applyAlignment="1">
      <alignment wrapText="1"/>
    </xf>
    <xf numFmtId="0" fontId="47" fillId="0" borderId="0" xfId="0" applyFont="1" applyAlignment="1"/>
    <xf numFmtId="0" fontId="166" fillId="0" borderId="0" xfId="232" applyFont="1" applyAlignment="1"/>
    <xf numFmtId="0" fontId="125" fillId="0" borderId="2" xfId="0" applyFont="1" applyBorder="1" applyAlignment="1">
      <alignment horizontal="center" vertical="center" wrapText="1"/>
    </xf>
    <xf numFmtId="0" fontId="166" fillId="0" borderId="0" xfId="0" applyFont="1"/>
    <xf numFmtId="0" fontId="166" fillId="0" borderId="0" xfId="232" applyFont="1"/>
    <xf numFmtId="0" fontId="112" fillId="0" borderId="0" xfId="0" applyFont="1"/>
    <xf numFmtId="0" fontId="126" fillId="0" borderId="0" xfId="0" applyFont="1"/>
    <xf numFmtId="2" fontId="38" fillId="0" borderId="12" xfId="0" applyNumberFormat="1" applyFont="1" applyFill="1" applyBorder="1" applyAlignment="1">
      <alignment horizontal="center" vertical="center" wrapText="1"/>
    </xf>
    <xf numFmtId="2" fontId="38" fillId="0" borderId="0" xfId="0" applyNumberFormat="1" applyFont="1" applyBorder="1" applyAlignment="1">
      <alignment horizontal="center"/>
    </xf>
    <xf numFmtId="2" fontId="38" fillId="34" borderId="0" xfId="0" applyNumberFormat="1" applyFont="1" applyFill="1" applyBorder="1" applyAlignment="1">
      <alignment horizontal="center" vertical="center" wrapText="1"/>
    </xf>
    <xf numFmtId="0" fontId="163" fillId="0" borderId="0" xfId="0" applyFont="1" applyFill="1" applyBorder="1"/>
    <xf numFmtId="2" fontId="7" fillId="0" borderId="0" xfId="0" applyNumberFormat="1" applyFont="1"/>
    <xf numFmtId="165" fontId="14" fillId="0" borderId="0" xfId="0" applyNumberFormat="1" applyFont="1" applyBorder="1"/>
    <xf numFmtId="0" fontId="38" fillId="0" borderId="0" xfId="0" applyFont="1" applyBorder="1" applyAlignment="1"/>
    <xf numFmtId="43" fontId="14" fillId="0" borderId="0" xfId="136" applyNumberFormat="1" applyFont="1" applyBorder="1"/>
    <xf numFmtId="0" fontId="12" fillId="34" borderId="0" xfId="0" applyFont="1" applyFill="1" applyBorder="1" applyAlignment="1">
      <alignment horizontal="center" vertical="center" wrapText="1"/>
    </xf>
    <xf numFmtId="0" fontId="12" fillId="34" borderId="0" xfId="0" applyFont="1" applyFill="1" applyBorder="1" applyAlignment="1">
      <alignment horizontal="left" vertical="center" wrapText="1"/>
    </xf>
    <xf numFmtId="2" fontId="14" fillId="0" borderId="12" xfId="0" applyNumberFormat="1" applyFont="1" applyFill="1" applyBorder="1" applyAlignment="1">
      <alignment horizontal="center" vertical="center"/>
    </xf>
    <xf numFmtId="0" fontId="166" fillId="0" borderId="0" xfId="0" applyFont="1" applyAlignment="1"/>
    <xf numFmtId="0" fontId="16" fillId="34" borderId="0" xfId="0" applyFont="1" applyFill="1" applyBorder="1" applyAlignment="1">
      <alignment horizontal="left" vertical="center" wrapText="1"/>
    </xf>
    <xf numFmtId="0" fontId="125" fillId="34" borderId="0" xfId="232" applyFont="1" applyFill="1" applyBorder="1" applyAlignment="1">
      <alignment horizontal="left" vertical="center" wrapText="1"/>
    </xf>
    <xf numFmtId="164" fontId="134" fillId="0" borderId="0" xfId="0" applyNumberFormat="1" applyFont="1" applyBorder="1"/>
    <xf numFmtId="165" fontId="6" fillId="0" borderId="0" xfId="0" applyNumberFormat="1" applyFont="1"/>
    <xf numFmtId="0" fontId="16" fillId="34" borderId="0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4" fillId="0" borderId="0" xfId="136" applyNumberFormat="1" applyFont="1" applyFill="1" applyBorder="1" applyAlignment="1">
      <alignment horizontal="center"/>
    </xf>
    <xf numFmtId="2" fontId="14" fillId="0" borderId="0" xfId="136" applyNumberFormat="1" applyFont="1" applyFill="1" applyBorder="1" applyAlignment="1">
      <alignment horizontal="center"/>
    </xf>
    <xf numFmtId="0" fontId="120" fillId="34" borderId="0" xfId="0" applyFont="1" applyFill="1" applyBorder="1" applyAlignment="1">
      <alignment vertical="center" wrapText="1"/>
    </xf>
    <xf numFmtId="1" fontId="22" fillId="34" borderId="0" xfId="0" applyNumberFormat="1" applyFont="1" applyFill="1" applyBorder="1" applyAlignment="1">
      <alignment horizontal="left" wrapText="1"/>
    </xf>
    <xf numFmtId="1" fontId="22" fillId="34" borderId="0" xfId="0" applyNumberFormat="1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left" vertical="center" wrapText="1"/>
    </xf>
    <xf numFmtId="0" fontId="15" fillId="34" borderId="0" xfId="0" applyFont="1" applyFill="1" applyBorder="1" applyAlignment="1">
      <alignment horizontal="center" vertical="center"/>
    </xf>
    <xf numFmtId="0" fontId="29" fillId="34" borderId="0" xfId="0" applyFont="1" applyFill="1" applyBorder="1" applyAlignment="1">
      <alignment horizontal="center" vertical="center"/>
    </xf>
    <xf numFmtId="0" fontId="15" fillId="34" borderId="0" xfId="0" applyFont="1" applyFill="1" applyBorder="1" applyAlignment="1">
      <alignment horizontal="center" vertical="center" wrapText="1"/>
    </xf>
    <xf numFmtId="1" fontId="15" fillId="34" borderId="0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Border="1" applyAlignment="1">
      <alignment wrapText="1"/>
    </xf>
    <xf numFmtId="0" fontId="4" fillId="0" borderId="0" xfId="0" applyFont="1" applyAlignment="1">
      <alignment horizontal="center"/>
    </xf>
    <xf numFmtId="0" fontId="14" fillId="34" borderId="2" xfId="0" applyFont="1" applyFill="1" applyBorder="1" applyAlignment="1">
      <alignment horizontal="center" vertical="center"/>
    </xf>
    <xf numFmtId="0" fontId="123" fillId="0" borderId="0" xfId="0" applyFont="1" applyBorder="1" applyAlignment="1">
      <alignment horizontal="center"/>
    </xf>
    <xf numFmtId="0" fontId="123" fillId="0" borderId="0" xfId="0" applyFont="1" applyBorder="1" applyAlignment="1">
      <alignment horizontal="center" vertical="center"/>
    </xf>
    <xf numFmtId="0" fontId="122" fillId="0" borderId="58" xfId="0" applyFont="1" applyBorder="1" applyAlignment="1"/>
    <xf numFmtId="0" fontId="112" fillId="0" borderId="58" xfId="0" applyFont="1" applyBorder="1" applyAlignment="1">
      <alignment horizontal="center" vertical="center"/>
    </xf>
    <xf numFmtId="0" fontId="112" fillId="0" borderId="2" xfId="0" applyFont="1" applyBorder="1" applyAlignment="1">
      <alignment horizontal="center" vertical="center" wrapText="1"/>
    </xf>
    <xf numFmtId="0" fontId="112" fillId="34" borderId="2" xfId="0" applyFont="1" applyFill="1" applyBorder="1"/>
    <xf numFmtId="0" fontId="112" fillId="0" borderId="2" xfId="0" applyFont="1" applyBorder="1"/>
    <xf numFmtId="2" fontId="112" fillId="0" borderId="2" xfId="0" applyNumberFormat="1" applyFont="1" applyBorder="1" applyAlignment="1">
      <alignment horizontal="center" vertical="center"/>
    </xf>
    <xf numFmtId="2" fontId="112" fillId="34" borderId="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124" fillId="0" borderId="0" xfId="0" applyFont="1" applyBorder="1" applyAlignment="1"/>
    <xf numFmtId="0" fontId="112" fillId="0" borderId="62" xfId="0" applyFont="1" applyBorder="1" applyAlignment="1">
      <alignment horizontal="center" vertical="center" wrapText="1"/>
    </xf>
    <xf numFmtId="2" fontId="112" fillId="34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4" fillId="34" borderId="2" xfId="0" applyNumberFormat="1" applyFont="1" applyFill="1" applyBorder="1" applyAlignment="1">
      <alignment horizontal="center" vertical="center"/>
    </xf>
    <xf numFmtId="1" fontId="14" fillId="0" borderId="0" xfId="0" applyNumberFormat="1" applyFont="1"/>
    <xf numFmtId="1" fontId="112" fillId="0" borderId="0" xfId="0" applyNumberFormat="1" applyFont="1" applyFill="1" applyBorder="1" applyAlignment="1">
      <alignment horizontal="center" vertical="center"/>
    </xf>
    <xf numFmtId="2" fontId="112" fillId="0" borderId="2" xfId="0" applyNumberFormat="1" applyFont="1" applyFill="1" applyBorder="1" applyAlignment="1">
      <alignment horizontal="center" vertical="center"/>
    </xf>
    <xf numFmtId="0" fontId="12" fillId="34" borderId="0" xfId="0" applyFont="1" applyFill="1" applyBorder="1" applyAlignment="1">
      <alignment horizontal="center" vertical="center"/>
    </xf>
    <xf numFmtId="164" fontId="14" fillId="0" borderId="0" xfId="0" applyNumberFormat="1" applyFont="1" applyFill="1" applyBorder="1"/>
    <xf numFmtId="0" fontId="7" fillId="0" borderId="0" xfId="0" applyFont="1"/>
    <xf numFmtId="2" fontId="14" fillId="0" borderId="0" xfId="0" applyNumberFormat="1" applyFont="1" applyBorder="1" applyAlignment="1">
      <alignment vertical="top"/>
    </xf>
    <xf numFmtId="0" fontId="12" fillId="34" borderId="0" xfId="0" applyFont="1" applyFill="1" applyBorder="1" applyAlignment="1">
      <alignment horizontal="left" vertical="center" wrapText="1"/>
    </xf>
    <xf numFmtId="2" fontId="38" fillId="0" borderId="0" xfId="0" applyNumberFormat="1" applyFont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/>
    </xf>
    <xf numFmtId="0" fontId="122" fillId="0" borderId="57" xfId="0" applyFont="1" applyFill="1" applyBorder="1" applyAlignment="1">
      <alignment horizontal="right" readingOrder="1"/>
    </xf>
    <xf numFmtId="164" fontId="122" fillId="0" borderId="57" xfId="0" applyNumberFormat="1" applyFont="1" applyFill="1" applyBorder="1" applyAlignment="1">
      <alignment horizontal="right" readingOrder="1"/>
    </xf>
    <xf numFmtId="0" fontId="112" fillId="34" borderId="64" xfId="0" applyFont="1" applyFill="1" applyBorder="1"/>
    <xf numFmtId="0" fontId="151" fillId="0" borderId="0" xfId="0" applyFont="1" applyFill="1" applyBorder="1"/>
    <xf numFmtId="0" fontId="152" fillId="0" borderId="0" xfId="0" applyFont="1" applyFill="1" applyBorder="1"/>
    <xf numFmtId="0" fontId="12" fillId="34" borderId="0" xfId="0" applyFont="1" applyFill="1" applyBorder="1" applyAlignment="1">
      <alignment horizontal="left" vertical="center" wrapText="1"/>
    </xf>
    <xf numFmtId="1" fontId="47" fillId="0" borderId="0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64" fontId="12" fillId="34" borderId="0" xfId="0" applyNumberFormat="1" applyFont="1" applyFill="1" applyBorder="1" applyAlignment="1">
      <alignment vertical="center"/>
    </xf>
    <xf numFmtId="164" fontId="12" fillId="0" borderId="0" xfId="0" applyNumberFormat="1" applyFont="1" applyFill="1" applyBorder="1" applyAlignment="1">
      <alignment vertical="center"/>
    </xf>
    <xf numFmtId="0" fontId="22" fillId="0" borderId="0" xfId="196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/>
    </xf>
    <xf numFmtId="1" fontId="12" fillId="34" borderId="0" xfId="0" applyNumberFormat="1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0" borderId="0" xfId="0" applyFont="1" applyFill="1" applyBorder="1"/>
    <xf numFmtId="0" fontId="2" fillId="0" borderId="0" xfId="0" applyFont="1"/>
    <xf numFmtId="0" fontId="2" fillId="2" borderId="0" xfId="0" applyFont="1" applyFill="1" applyBorder="1"/>
    <xf numFmtId="0" fontId="2" fillId="0" borderId="0" xfId="0" applyFont="1" applyBorder="1"/>
    <xf numFmtId="0" fontId="2" fillId="0" borderId="0" xfId="0" applyFont="1" applyFill="1"/>
    <xf numFmtId="2" fontId="38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left" wrapText="1"/>
    </xf>
    <xf numFmtId="0" fontId="12" fillId="34" borderId="0" xfId="0" applyFont="1" applyFill="1" applyBorder="1" applyAlignment="1">
      <alignment horizontal="left" vertical="center" wrapText="1"/>
    </xf>
    <xf numFmtId="0" fontId="122" fillId="34" borderId="57" xfId="0" applyFont="1" applyFill="1" applyBorder="1"/>
    <xf numFmtId="0" fontId="40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/>
    </xf>
    <xf numFmtId="0" fontId="14" fillId="0" borderId="0" xfId="0" applyFont="1" applyAlignment="1">
      <alignment vertical="center" wrapText="1"/>
    </xf>
    <xf numFmtId="0" fontId="13" fillId="0" borderId="0" xfId="0" applyFont="1" applyBorder="1" applyAlignment="1">
      <alignment vertical="top" wrapText="1"/>
    </xf>
    <xf numFmtId="2" fontId="14" fillId="0" borderId="3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/>
    </xf>
    <xf numFmtId="0" fontId="47" fillId="0" borderId="0" xfId="0" applyFont="1" applyFill="1" applyBorder="1"/>
    <xf numFmtId="0" fontId="12" fillId="34" borderId="0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vertical="top" wrapText="1"/>
    </xf>
    <xf numFmtId="0" fontId="12" fillId="0" borderId="0" xfId="0" applyFont="1" applyFill="1" applyBorder="1" applyAlignment="1">
      <alignment horizontal="left" vertical="center" wrapText="1"/>
    </xf>
    <xf numFmtId="1" fontId="12" fillId="0" borderId="0" xfId="0" applyNumberFormat="1" applyFont="1" applyFill="1" applyBorder="1" applyAlignment="1">
      <alignment vertical="center"/>
    </xf>
    <xf numFmtId="1" fontId="12" fillId="34" borderId="23" xfId="0" applyNumberFormat="1" applyFont="1" applyFill="1" applyBorder="1" applyAlignment="1">
      <alignment vertical="center"/>
    </xf>
    <xf numFmtId="1" fontId="12" fillId="0" borderId="23" xfId="0" applyNumberFormat="1" applyFont="1" applyFill="1" applyBorder="1" applyAlignment="1">
      <alignment vertical="center"/>
    </xf>
    <xf numFmtId="43" fontId="33" fillId="0" borderId="0" xfId="136" applyFont="1" applyFill="1" applyBorder="1"/>
    <xf numFmtId="2" fontId="14" fillId="34" borderId="0" xfId="136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3" fillId="0" borderId="0" xfId="0" applyFont="1" applyAlignment="1"/>
    <xf numFmtId="43" fontId="14" fillId="0" borderId="0" xfId="0" applyNumberFormat="1" applyFont="1" applyBorder="1"/>
    <xf numFmtId="0" fontId="12" fillId="34" borderId="0" xfId="0" applyFont="1" applyFill="1" applyBorder="1" applyAlignment="1">
      <alignment horizontal="left" vertical="center" wrapText="1"/>
    </xf>
    <xf numFmtId="1" fontId="14" fillId="0" borderId="0" xfId="0" applyNumberFormat="1" applyFont="1" applyBorder="1"/>
    <xf numFmtId="0" fontId="12" fillId="0" borderId="0" xfId="0" applyFont="1" applyFill="1" applyBorder="1" applyAlignment="1">
      <alignment horizontal="left" vertical="center" wrapText="1"/>
    </xf>
    <xf numFmtId="0" fontId="170" fillId="0" borderId="0" xfId="0" applyFont="1"/>
    <xf numFmtId="0" fontId="12" fillId="0" borderId="0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horizontal="left" vertical="center" wrapText="1"/>
    </xf>
    <xf numFmtId="1" fontId="120" fillId="0" borderId="0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right" vertical="center" wrapText="1"/>
    </xf>
    <xf numFmtId="177" fontId="14" fillId="0" borderId="0" xfId="0" applyNumberFormat="1" applyFont="1" applyFill="1"/>
    <xf numFmtId="0" fontId="66" fillId="34" borderId="0" xfId="0" applyFont="1" applyFill="1" applyBorder="1" applyAlignment="1">
      <alignment horizontal="right" vertical="center"/>
    </xf>
    <xf numFmtId="0" fontId="14" fillId="34" borderId="12" xfId="0" applyFont="1" applyFill="1" applyBorder="1" applyAlignment="1">
      <alignment horizontal="center" vertical="center"/>
    </xf>
    <xf numFmtId="1" fontId="12" fillId="34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38" fillId="34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center" vertical="top" wrapText="1"/>
    </xf>
    <xf numFmtId="0" fontId="29" fillId="0" borderId="12" xfId="0" applyFont="1" applyFill="1" applyBorder="1" applyAlignment="1">
      <alignment horizontal="center"/>
    </xf>
    <xf numFmtId="2" fontId="171" fillId="0" borderId="0" xfId="0" applyNumberFormat="1" applyFont="1" applyFill="1" applyBorder="1" applyAlignment="1">
      <alignment horizontal="center" vertical="top" wrapText="1"/>
    </xf>
    <xf numFmtId="2" fontId="124" fillId="0" borderId="0" xfId="0" applyNumberFormat="1" applyFont="1" applyFill="1" applyBorder="1" applyAlignment="1">
      <alignment horizontal="center" vertical="top" wrapText="1"/>
    </xf>
    <xf numFmtId="0" fontId="170" fillId="0" borderId="0" xfId="0" applyFont="1" applyFill="1" applyBorder="1" applyAlignment="1">
      <alignment horizontal="right" wrapText="1"/>
    </xf>
    <xf numFmtId="0" fontId="172" fillId="0" borderId="0" xfId="0" applyFont="1" applyFill="1" applyBorder="1" applyAlignment="1">
      <alignment horizontal="right" wrapText="1"/>
    </xf>
    <xf numFmtId="0" fontId="170" fillId="0" borderId="0" xfId="0" applyFont="1" applyFill="1" applyBorder="1" applyAlignment="1">
      <alignment horizontal="left" vertical="center" wrapText="1" indent="2"/>
    </xf>
    <xf numFmtId="0" fontId="134" fillId="0" borderId="0" xfId="0" applyFont="1" applyFill="1" applyBorder="1" applyAlignment="1">
      <alignment horizontal="right" wrapText="1"/>
    </xf>
    <xf numFmtId="165" fontId="33" fillId="0" borderId="0" xfId="0" applyNumberFormat="1" applyFont="1" applyAlignment="1">
      <alignment horizontal="center"/>
    </xf>
    <xf numFmtId="0" fontId="40" fillId="34" borderId="0" xfId="0" applyFont="1" applyFill="1" applyBorder="1" applyAlignment="1">
      <alignment horizontal="right" vertical="center"/>
    </xf>
    <xf numFmtId="1" fontId="12" fillId="35" borderId="0" xfId="0" applyNumberFormat="1" applyFont="1" applyFill="1" applyBorder="1" applyAlignment="1">
      <alignment horizontal="center" vertical="center" wrapText="1"/>
    </xf>
    <xf numFmtId="164" fontId="38" fillId="0" borderId="0" xfId="0" applyNumberFormat="1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>
      <alignment vertical="center"/>
    </xf>
    <xf numFmtId="1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172" fontId="112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wrapText="1"/>
    </xf>
    <xf numFmtId="0" fontId="40" fillId="34" borderId="0" xfId="0" applyFont="1" applyFill="1" applyBorder="1" applyAlignment="1">
      <alignment horizontal="center" vertical="center" wrapText="1"/>
    </xf>
    <xf numFmtId="164" fontId="120" fillId="0" borderId="12" xfId="0" applyNumberFormat="1" applyFont="1" applyFill="1" applyBorder="1" applyAlignment="1">
      <alignment horizontal="center" vertical="center" wrapText="1"/>
    </xf>
    <xf numFmtId="164" fontId="170" fillId="0" borderId="0" xfId="0" applyNumberFormat="1" applyFont="1" applyFill="1" applyBorder="1" applyAlignment="1">
      <alignment horizontal="right" wrapText="1"/>
    </xf>
    <xf numFmtId="164" fontId="121" fillId="34" borderId="0" xfId="0" applyNumberFormat="1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right"/>
    </xf>
    <xf numFmtId="164" fontId="173" fillId="0" borderId="0" xfId="0" applyNumberFormat="1" applyFont="1" applyFill="1" applyBorder="1" applyAlignment="1">
      <alignment horizontal="center" vertical="center"/>
    </xf>
    <xf numFmtId="0" fontId="22" fillId="34" borderId="0" xfId="0" applyFont="1" applyFill="1" applyBorder="1" applyAlignment="1">
      <alignment vertical="top"/>
    </xf>
    <xf numFmtId="1" fontId="14" fillId="0" borderId="2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4" fillId="0" borderId="51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43" fontId="22" fillId="0" borderId="2" xfId="0" applyNumberFormat="1" applyFont="1" applyFill="1" applyBorder="1" applyAlignment="1">
      <alignment horizontal="center" vertical="top" wrapText="1"/>
    </xf>
    <xf numFmtId="43" fontId="22" fillId="0" borderId="5" xfId="0" applyNumberFormat="1" applyFont="1" applyFill="1" applyBorder="1" applyAlignment="1">
      <alignment horizontal="center" vertical="top" wrapText="1"/>
    </xf>
    <xf numFmtId="43" fontId="2" fillId="0" borderId="0" xfId="0" applyNumberFormat="1" applyFont="1"/>
    <xf numFmtId="0" fontId="14" fillId="0" borderId="53" xfId="0" applyFont="1" applyBorder="1" applyAlignment="1">
      <alignment horizontal="left" vertical="top"/>
    </xf>
    <xf numFmtId="43" fontId="14" fillId="0" borderId="53" xfId="136" applyFont="1" applyBorder="1" applyAlignment="1">
      <alignment horizontal="center" vertical="center"/>
    </xf>
    <xf numFmtId="43" fontId="14" fillId="0" borderId="56" xfId="136" applyFont="1" applyBorder="1" applyAlignment="1">
      <alignment horizontal="center" vertical="center"/>
    </xf>
    <xf numFmtId="43" fontId="14" fillId="0" borderId="2" xfId="136" applyFont="1" applyBorder="1" applyAlignment="1">
      <alignment horizontal="center" vertical="center"/>
    </xf>
    <xf numFmtId="0" fontId="14" fillId="36" borderId="49" xfId="0" applyFont="1" applyFill="1" applyBorder="1" applyAlignment="1">
      <alignment horizontal="left" vertical="top"/>
    </xf>
    <xf numFmtId="43" fontId="14" fillId="34" borderId="49" xfId="136" applyFont="1" applyFill="1" applyBorder="1" applyAlignment="1">
      <alignment horizontal="center" vertical="center"/>
    </xf>
    <xf numFmtId="43" fontId="14" fillId="34" borderId="50" xfId="136" applyFont="1" applyFill="1" applyBorder="1" applyAlignment="1">
      <alignment horizontal="center" vertical="center"/>
    </xf>
    <xf numFmtId="43" fontId="14" fillId="34" borderId="2" xfId="136" applyFont="1" applyFill="1" applyBorder="1" applyAlignment="1">
      <alignment horizontal="center" vertical="center"/>
    </xf>
    <xf numFmtId="0" fontId="14" fillId="0" borderId="49" xfId="0" applyFont="1" applyBorder="1" applyAlignment="1">
      <alignment horizontal="left" vertical="top"/>
    </xf>
    <xf numFmtId="43" fontId="14" fillId="0" borderId="49" xfId="136" applyFont="1" applyBorder="1" applyAlignment="1">
      <alignment horizontal="center" vertical="center"/>
    </xf>
    <xf numFmtId="43" fontId="14" fillId="0" borderId="50" xfId="136" applyFont="1" applyBorder="1" applyAlignment="1">
      <alignment horizontal="center" vertical="center"/>
    </xf>
    <xf numFmtId="0" fontId="14" fillId="34" borderId="49" xfId="0" applyFont="1" applyFill="1" applyBorder="1" applyAlignment="1">
      <alignment horizontal="left" vertical="top"/>
    </xf>
    <xf numFmtId="0" fontId="14" fillId="0" borderId="49" xfId="0" applyFont="1" applyFill="1" applyBorder="1" applyAlignment="1">
      <alignment horizontal="left" vertical="top"/>
    </xf>
    <xf numFmtId="43" fontId="14" fillId="0" borderId="49" xfId="136" applyFont="1" applyFill="1" applyBorder="1" applyAlignment="1">
      <alignment horizontal="center" vertical="center"/>
    </xf>
    <xf numFmtId="43" fontId="14" fillId="0" borderId="50" xfId="136" applyFont="1" applyFill="1" applyBorder="1" applyAlignment="1">
      <alignment horizontal="center" vertical="center"/>
    </xf>
    <xf numFmtId="43" fontId="2" fillId="0" borderId="0" xfId="0" applyNumberFormat="1" applyFont="1" applyFill="1"/>
    <xf numFmtId="0" fontId="14" fillId="34" borderId="66" xfId="0" applyFont="1" applyFill="1" applyBorder="1" applyAlignment="1">
      <alignment horizontal="left" vertical="top"/>
    </xf>
    <xf numFmtId="43" fontId="14" fillId="34" borderId="66" xfId="136" applyFont="1" applyFill="1" applyBorder="1" applyAlignment="1">
      <alignment horizontal="center" vertical="center"/>
    </xf>
    <xf numFmtId="43" fontId="14" fillId="34" borderId="66" xfId="136" applyFont="1" applyFill="1" applyBorder="1" applyAlignment="1">
      <alignment horizontal="center" vertical="top"/>
    </xf>
    <xf numFmtId="43" fontId="14" fillId="34" borderId="67" xfId="136" applyFont="1" applyFill="1" applyBorder="1" applyAlignment="1">
      <alignment horizontal="center" vertical="top"/>
    </xf>
    <xf numFmtId="0" fontId="13" fillId="0" borderId="0" xfId="0" applyFont="1" applyAlignment="1">
      <alignment wrapText="1"/>
    </xf>
    <xf numFmtId="0" fontId="112" fillId="34" borderId="63" xfId="0" applyFont="1" applyFill="1" applyBorder="1" applyAlignment="1">
      <alignment horizontal="right" readingOrder="1"/>
    </xf>
    <xf numFmtId="164" fontId="112" fillId="34" borderId="63" xfId="0" applyNumberFormat="1" applyFont="1" applyFill="1" applyBorder="1" applyAlignment="1">
      <alignment horizontal="right" readingOrder="1"/>
    </xf>
    <xf numFmtId="0" fontId="122" fillId="34" borderId="57" xfId="0" applyFont="1" applyFill="1" applyBorder="1" applyAlignment="1">
      <alignment horizontal="right" readingOrder="1"/>
    </xf>
    <xf numFmtId="164" fontId="122" fillId="34" borderId="57" xfId="0" applyNumberFormat="1" applyFont="1" applyFill="1" applyBorder="1" applyAlignment="1">
      <alignment horizontal="right" readingOrder="1"/>
    </xf>
    <xf numFmtId="0" fontId="112" fillId="0" borderId="64" xfId="0" applyFont="1" applyFill="1" applyBorder="1"/>
    <xf numFmtId="1" fontId="112" fillId="34" borderId="0" xfId="0" applyNumberFormat="1" applyFont="1" applyFill="1" applyBorder="1" applyAlignment="1">
      <alignment horizontal="right" readingOrder="1"/>
    </xf>
    <xf numFmtId="1" fontId="112" fillId="0" borderId="0" xfId="0" applyNumberFormat="1" applyFont="1" applyFill="1" applyBorder="1" applyAlignment="1">
      <alignment horizontal="right" readingOrder="1"/>
    </xf>
    <xf numFmtId="0" fontId="22" fillId="34" borderId="0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right"/>
    </xf>
    <xf numFmtId="164" fontId="112" fillId="34" borderId="0" xfId="0" applyNumberFormat="1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 wrapText="1"/>
    </xf>
    <xf numFmtId="164" fontId="173" fillId="34" borderId="0" xfId="0" applyNumberFormat="1" applyFont="1" applyFill="1" applyBorder="1" applyAlignment="1">
      <alignment horizontal="center" vertical="center"/>
    </xf>
    <xf numFmtId="2" fontId="134" fillId="0" borderId="0" xfId="0" applyNumberFormat="1" applyFont="1" applyFill="1" applyBorder="1" applyAlignment="1">
      <alignment horizontal="right" wrapText="1"/>
    </xf>
    <xf numFmtId="2" fontId="12" fillId="0" borderId="0" xfId="0" applyNumberFormat="1" applyFont="1" applyBorder="1"/>
    <xf numFmtId="164" fontId="13" fillId="0" borderId="0" xfId="0" applyNumberFormat="1" applyFont="1"/>
    <xf numFmtId="166" fontId="174" fillId="0" borderId="0" xfId="0" applyNumberFormat="1" applyFont="1" applyFill="1" applyBorder="1" applyAlignment="1">
      <alignment horizontal="center" vertical="center" wrapText="1"/>
    </xf>
    <xf numFmtId="1" fontId="14" fillId="0" borderId="0" xfId="0" applyNumberFormat="1" applyFont="1" applyFill="1"/>
    <xf numFmtId="1" fontId="12" fillId="0" borderId="0" xfId="0" applyNumberFormat="1" applyFont="1" applyFill="1"/>
    <xf numFmtId="0" fontId="13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38" fillId="34" borderId="0" xfId="0" applyFont="1" applyFill="1" applyBorder="1" applyAlignment="1">
      <alignment horizontal="center" vertical="center"/>
    </xf>
    <xf numFmtId="0" fontId="175" fillId="0" borderId="0" xfId="173" applyFont="1" applyAlignment="1" applyProtection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11" fillId="0" borderId="0" xfId="0" applyFont="1" applyAlignment="1"/>
    <xf numFmtId="0" fontId="29" fillId="0" borderId="5" xfId="196" applyFont="1" applyBorder="1" applyAlignment="1">
      <alignment horizontal="center" vertical="center" wrapText="1"/>
    </xf>
    <xf numFmtId="0" fontId="29" fillId="0" borderId="2" xfId="196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72" fontId="112" fillId="34" borderId="0" xfId="0" applyNumberFormat="1" applyFont="1" applyFill="1" applyBorder="1" applyAlignment="1">
      <alignment horizontal="center" vertical="center" wrapText="1"/>
    </xf>
    <xf numFmtId="1" fontId="112" fillId="0" borderId="0" xfId="0" applyNumberFormat="1" applyFont="1" applyFill="1"/>
    <xf numFmtId="0" fontId="112" fillId="0" borderId="23" xfId="0" applyFont="1" applyFill="1" applyBorder="1"/>
    <xf numFmtId="164" fontId="112" fillId="0" borderId="0" xfId="0" applyNumberFormat="1" applyFont="1" applyFill="1"/>
    <xf numFmtId="1" fontId="112" fillId="34" borderId="0" xfId="0" applyNumberFormat="1" applyFont="1" applyFill="1"/>
    <xf numFmtId="164" fontId="112" fillId="34" borderId="0" xfId="0" applyNumberFormat="1" applyFont="1" applyFill="1"/>
    <xf numFmtId="0" fontId="112" fillId="34" borderId="0" xfId="0" applyFont="1" applyFill="1"/>
    <xf numFmtId="0" fontId="112" fillId="34" borderId="23" xfId="0" applyFont="1" applyFill="1" applyBorder="1"/>
    <xf numFmtId="0" fontId="40" fillId="0" borderId="69" xfId="0" applyFont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center" vertical="center" wrapText="1"/>
    </xf>
    <xf numFmtId="2" fontId="40" fillId="34" borderId="0" xfId="0" applyNumberFormat="1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/>
    </xf>
    <xf numFmtId="0" fontId="152" fillId="0" borderId="0" xfId="0" applyFont="1" applyBorder="1" applyAlignment="1">
      <alignment horizontal="left" wrapText="1"/>
    </xf>
    <xf numFmtId="0" fontId="151" fillId="2" borderId="0" xfId="0" applyFont="1" applyFill="1" applyBorder="1" applyAlignment="1"/>
    <xf numFmtId="0" fontId="159" fillId="0" borderId="0" xfId="0" applyFont="1" applyBorder="1" applyAlignment="1"/>
    <xf numFmtId="0" fontId="151" fillId="2" borderId="0" xfId="0" applyFont="1" applyFill="1" applyBorder="1" applyAlignment="1">
      <alignment wrapText="1"/>
    </xf>
    <xf numFmtId="0" fontId="0" fillId="2" borderId="0" xfId="0" applyFill="1" applyAlignment="1">
      <alignment vertical="top"/>
    </xf>
    <xf numFmtId="0" fontId="151" fillId="2" borderId="0" xfId="0" applyFont="1" applyFill="1" applyBorder="1" applyAlignment="1">
      <alignment horizontal="left" vertical="top"/>
    </xf>
    <xf numFmtId="0" fontId="159" fillId="0" borderId="0" xfId="0" applyFont="1" applyBorder="1" applyAlignment="1">
      <alignment horizontal="left" vertical="center"/>
    </xf>
    <xf numFmtId="0" fontId="159" fillId="2" borderId="0" xfId="0" applyFont="1" applyFill="1" applyBorder="1" applyAlignment="1">
      <alignment horizontal="left" vertical="center"/>
    </xf>
    <xf numFmtId="0" fontId="153" fillId="0" borderId="0" xfId="0" applyFont="1" applyBorder="1" applyAlignment="1">
      <alignment horizontal="left" wrapText="1"/>
    </xf>
    <xf numFmtId="0" fontId="153" fillId="0" borderId="17" xfId="0" applyFont="1" applyBorder="1" applyAlignment="1">
      <alignment horizontal="left" wrapText="1"/>
    </xf>
    <xf numFmtId="0" fontId="152" fillId="2" borderId="0" xfId="0" applyFont="1" applyFill="1" applyBorder="1" applyAlignment="1">
      <alignment horizontal="left"/>
    </xf>
    <xf numFmtId="0" fontId="152" fillId="2" borderId="17" xfId="0" applyFont="1" applyFill="1" applyBorder="1" applyAlignment="1">
      <alignment horizontal="left"/>
    </xf>
    <xf numFmtId="0" fontId="152" fillId="0" borderId="0" xfId="0" applyFont="1" applyBorder="1" applyAlignment="1">
      <alignment horizontal="left" vertical="top" wrapText="1"/>
    </xf>
    <xf numFmtId="178" fontId="22" fillId="0" borderId="2" xfId="0" quotePrefix="1" applyNumberFormat="1" applyFont="1" applyFill="1" applyBorder="1" applyAlignment="1">
      <alignment horizontal="center" vertical="top"/>
    </xf>
    <xf numFmtId="2" fontId="12" fillId="0" borderId="0" xfId="0" applyNumberFormat="1" applyFont="1" applyFill="1" applyBorder="1"/>
    <xf numFmtId="164" fontId="173" fillId="37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/>
    <xf numFmtId="0" fontId="38" fillId="34" borderId="0" xfId="0" applyFont="1" applyFill="1" applyBorder="1" applyAlignment="1">
      <alignment horizontal="center" vertical="center" wrapText="1"/>
    </xf>
    <xf numFmtId="1" fontId="26" fillId="0" borderId="0" xfId="0" applyNumberFormat="1" applyFont="1" applyFill="1" applyBorder="1" applyAlignment="1">
      <alignment wrapText="1"/>
    </xf>
    <xf numFmtId="0" fontId="126" fillId="34" borderId="0" xfId="0" applyFont="1" applyFill="1" applyBorder="1" applyAlignment="1">
      <alignment horizontal="center" vertical="center"/>
    </xf>
    <xf numFmtId="0" fontId="126" fillId="0" borderId="0" xfId="0" applyFont="1" applyFill="1" applyBorder="1" applyAlignment="1">
      <alignment horizontal="center" vertical="center"/>
    </xf>
    <xf numFmtId="0" fontId="125" fillId="0" borderId="0" xfId="0" applyFont="1" applyFill="1" applyBorder="1" applyAlignment="1">
      <alignment horizontal="center" vertical="center"/>
    </xf>
    <xf numFmtId="0" fontId="125" fillId="34" borderId="0" xfId="0" applyFont="1" applyFill="1" applyBorder="1" applyAlignment="1">
      <alignment horizontal="center" vertical="center"/>
    </xf>
    <xf numFmtId="1" fontId="13" fillId="0" borderId="0" xfId="0" applyNumberFormat="1" applyFont="1" applyFill="1"/>
    <xf numFmtId="37" fontId="38" fillId="0" borderId="0" xfId="0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vertical="center"/>
    </xf>
    <xf numFmtId="37" fontId="38" fillId="34" borderId="0" xfId="0" applyNumberFormat="1" applyFont="1" applyFill="1" applyBorder="1" applyAlignment="1">
      <alignment horizontal="center" vertical="center" wrapText="1"/>
    </xf>
    <xf numFmtId="164" fontId="112" fillId="0" borderId="58" xfId="0" applyNumberFormat="1" applyFont="1" applyFill="1" applyBorder="1" applyAlignment="1">
      <alignment horizontal="right" vertical="center" readingOrder="1"/>
    </xf>
    <xf numFmtId="0" fontId="14" fillId="34" borderId="12" xfId="0" applyFont="1" applyFill="1" applyBorder="1" applyAlignment="1">
      <alignment horizontal="left" vertical="center"/>
    </xf>
    <xf numFmtId="0" fontId="14" fillId="34" borderId="12" xfId="0" applyFont="1" applyFill="1" applyBorder="1" applyAlignment="1">
      <alignment horizontal="right" vertical="center"/>
    </xf>
    <xf numFmtId="179" fontId="14" fillId="0" borderId="0" xfId="0" applyNumberFormat="1" applyFont="1" applyFill="1"/>
    <xf numFmtId="0" fontId="14" fillId="34" borderId="0" xfId="0" applyFont="1" applyFill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wrapText="1"/>
    </xf>
    <xf numFmtId="2" fontId="13" fillId="0" borderId="0" xfId="0" applyNumberFormat="1" applyFont="1"/>
    <xf numFmtId="0" fontId="125" fillId="0" borderId="0" xfId="232" applyFont="1" applyFill="1" applyBorder="1" applyAlignment="1">
      <alignment horizontal="left" wrapText="1"/>
    </xf>
    <xf numFmtId="0" fontId="126" fillId="34" borderId="0" xfId="0" applyFont="1" applyFill="1" applyBorder="1" applyAlignment="1">
      <alignment horizontal="left" vertical="center"/>
    </xf>
    <xf numFmtId="0" fontId="126" fillId="0" borderId="0" xfId="0" applyFont="1" applyFill="1" applyBorder="1" applyAlignment="1">
      <alignment horizontal="left" vertical="center"/>
    </xf>
    <xf numFmtId="0" fontId="126" fillId="0" borderId="0" xfId="0" applyFont="1" applyAlignment="1">
      <alignment horizontal="center" vertical="center"/>
    </xf>
    <xf numFmtId="0" fontId="126" fillId="0" borderId="0" xfId="0" applyFont="1" applyFill="1" applyAlignment="1">
      <alignment horizontal="center" vertical="center"/>
    </xf>
    <xf numFmtId="0" fontId="126" fillId="0" borderId="0" xfId="0" applyFont="1" applyBorder="1" applyAlignment="1">
      <alignment horizontal="center" vertical="center"/>
    </xf>
    <xf numFmtId="2" fontId="22" fillId="35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/>
    <xf numFmtId="166" fontId="22" fillId="0" borderId="0" xfId="0" applyNumberFormat="1" applyFont="1" applyFill="1" applyBorder="1" applyAlignment="1">
      <alignment horizontal="right"/>
    </xf>
    <xf numFmtId="0" fontId="14" fillId="34" borderId="12" xfId="196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46" fontId="38" fillId="34" borderId="0" xfId="0" applyNumberFormat="1" applyFont="1" applyFill="1" applyBorder="1" applyAlignment="1">
      <alignment horizontal="center" vertical="center"/>
    </xf>
    <xf numFmtId="46" fontId="38" fillId="0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0" borderId="0" xfId="0" applyFont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right" wrapText="1"/>
    </xf>
    <xf numFmtId="0" fontId="15" fillId="0" borderId="61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49" fontId="14" fillId="34" borderId="0" xfId="0" applyNumberFormat="1" applyFont="1" applyFill="1" applyBorder="1" applyAlignment="1">
      <alignment horizontal="center" vertical="center" wrapText="1"/>
    </xf>
    <xf numFmtId="0" fontId="14" fillId="0" borderId="62" xfId="0" applyFont="1" applyBorder="1" applyAlignment="1">
      <alignment horizontal="center" vertical="center" wrapText="1"/>
    </xf>
    <xf numFmtId="0" fontId="14" fillId="0" borderId="62" xfId="0" applyFont="1" applyFill="1" applyBorder="1" applyAlignment="1">
      <alignment horizontal="center" vertical="center" wrapText="1"/>
    </xf>
    <xf numFmtId="0" fontId="66" fillId="0" borderId="0" xfId="0" applyFont="1" applyFill="1" applyBorder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0" fontId="14" fillId="35" borderId="0" xfId="0" applyFont="1" applyFill="1" applyBorder="1" applyAlignment="1">
      <alignment horizontal="center" vertical="center"/>
    </xf>
    <xf numFmtId="0" fontId="14" fillId="35" borderId="0" xfId="0" applyFont="1" applyFill="1" applyBorder="1" applyAlignment="1">
      <alignment horizontal="left" vertical="center"/>
    </xf>
    <xf numFmtId="0" fontId="14" fillId="35" borderId="0" xfId="0" applyFont="1" applyFill="1" applyBorder="1" applyAlignment="1">
      <alignment horizontal="right" vertical="center"/>
    </xf>
    <xf numFmtId="169" fontId="14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2" fontId="14" fillId="0" borderId="0" xfId="0" applyNumberFormat="1" applyFont="1" applyAlignment="1">
      <alignment vertical="center"/>
    </xf>
    <xf numFmtId="0" fontId="14" fillId="0" borderId="0" xfId="0" applyNumberFormat="1" applyFont="1" applyBorder="1" applyAlignment="1">
      <alignment vertical="center"/>
    </xf>
    <xf numFmtId="0" fontId="14" fillId="34" borderId="0" xfId="0" applyNumberFormat="1" applyFont="1" applyFill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2" fontId="14" fillId="0" borderId="0" xfId="0" applyNumberFormat="1" applyFont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0" fontId="14" fillId="34" borderId="12" xfId="0" applyFont="1" applyFill="1" applyBorder="1" applyAlignment="1">
      <alignment vertical="center"/>
    </xf>
    <xf numFmtId="0" fontId="14" fillId="0" borderId="0" xfId="0" applyNumberFormat="1" applyFont="1" applyBorder="1" applyAlignment="1">
      <alignment horizontal="left" vertical="center"/>
    </xf>
    <xf numFmtId="0" fontId="70" fillId="0" borderId="0" xfId="0" applyFont="1"/>
    <xf numFmtId="0" fontId="151" fillId="0" borderId="0" xfId="0" applyFont="1" applyFill="1" applyBorder="1" applyAlignment="1">
      <alignment wrapText="1"/>
    </xf>
    <xf numFmtId="1" fontId="120" fillId="34" borderId="0" xfId="0" applyNumberFormat="1" applyFont="1" applyFill="1" applyBorder="1" applyAlignment="1">
      <alignment horizontal="center" vertical="center" wrapText="1"/>
    </xf>
    <xf numFmtId="164" fontId="14" fillId="34" borderId="0" xfId="0" applyNumberFormat="1" applyFont="1" applyFill="1" applyBorder="1" applyAlignment="1">
      <alignment horizontal="right"/>
    </xf>
    <xf numFmtId="164" fontId="22" fillId="0" borderId="0" xfId="0" applyNumberFormat="1" applyFont="1" applyFill="1" applyBorder="1" applyAlignment="1">
      <alignment horizontal="right"/>
    </xf>
    <xf numFmtId="0" fontId="29" fillId="34" borderId="12" xfId="0" applyFont="1" applyFill="1" applyBorder="1"/>
    <xf numFmtId="2" fontId="29" fillId="34" borderId="12" xfId="0" applyNumberFormat="1" applyFont="1" applyFill="1" applyBorder="1" applyAlignment="1">
      <alignment horizontal="center"/>
    </xf>
    <xf numFmtId="2" fontId="15" fillId="0" borderId="12" xfId="0" applyNumberFormat="1" applyFont="1" applyFill="1" applyBorder="1" applyAlignment="1">
      <alignment horizontal="center" wrapText="1"/>
    </xf>
    <xf numFmtId="1" fontId="15" fillId="0" borderId="12" xfId="0" applyNumberFormat="1" applyFont="1" applyFill="1" applyBorder="1" applyAlignment="1">
      <alignment horizontal="center" wrapText="1"/>
    </xf>
    <xf numFmtId="0" fontId="15" fillId="0" borderId="12" xfId="0" applyFont="1" applyFill="1" applyBorder="1" applyAlignment="1">
      <alignment horizontal="center" wrapText="1"/>
    </xf>
    <xf numFmtId="2" fontId="14" fillId="0" borderId="0" xfId="0" applyNumberFormat="1" applyFont="1" applyFill="1" applyAlignment="1">
      <alignment horizontal="center" vertical="justify"/>
    </xf>
    <xf numFmtId="2" fontId="14" fillId="0" borderId="12" xfId="0" applyNumberFormat="1" applyFont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wrapText="1"/>
    </xf>
    <xf numFmtId="0" fontId="12" fillId="0" borderId="0" xfId="0" applyFont="1" applyBorder="1" applyAlignment="1">
      <alignment horizontal="left" wrapText="1"/>
    </xf>
    <xf numFmtId="0" fontId="26" fillId="0" borderId="0" xfId="0" applyFont="1" applyFill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0" fontId="15" fillId="0" borderId="1" xfId="0" applyFont="1" applyBorder="1" applyAlignment="1">
      <alignment horizontal="right" wrapText="1"/>
    </xf>
    <xf numFmtId="0" fontId="18" fillId="0" borderId="0" xfId="0" applyFont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13" fillId="0" borderId="0" xfId="0" applyFont="1" applyAlignment="1"/>
    <xf numFmtId="0" fontId="14" fillId="0" borderId="2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right"/>
    </xf>
    <xf numFmtId="1" fontId="14" fillId="0" borderId="0" xfId="0" applyNumberFormat="1" applyFont="1" applyFill="1" applyAlignment="1">
      <alignment horizontal="center"/>
    </xf>
    <xf numFmtId="1" fontId="12" fillId="34" borderId="0" xfId="0" applyNumberFormat="1" applyFont="1" applyFill="1" applyBorder="1" applyAlignment="1">
      <alignment horizontal="right" vertical="center" wrapText="1"/>
    </xf>
    <xf numFmtId="0" fontId="175" fillId="0" borderId="0" xfId="173" applyFont="1" applyFill="1" applyAlignment="1" applyProtection="1"/>
    <xf numFmtId="0" fontId="8" fillId="0" borderId="1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2" fontId="14" fillId="0" borderId="0" xfId="196" applyNumberFormat="1" applyFont="1" applyAlignment="1">
      <alignment horizontal="center" vertical="center" wrapText="1"/>
    </xf>
    <xf numFmtId="2" fontId="14" fillId="0" borderId="0" xfId="196" applyNumberFormat="1" applyFont="1" applyFill="1" applyAlignment="1">
      <alignment horizontal="center" vertical="center" wrapText="1"/>
    </xf>
    <xf numFmtId="2" fontId="14" fillId="34" borderId="0" xfId="196" applyNumberFormat="1" applyFont="1" applyFill="1" applyBorder="1" applyAlignment="1">
      <alignment horizontal="center" vertical="center" wrapText="1"/>
    </xf>
    <xf numFmtId="2" fontId="14" fillId="34" borderId="0" xfId="196" applyNumberFormat="1" applyFont="1" applyFill="1" applyAlignment="1">
      <alignment horizontal="center" vertical="center" wrapText="1"/>
    </xf>
    <xf numFmtId="2" fontId="12" fillId="34" borderId="0" xfId="0" applyNumberFormat="1" applyFont="1" applyFill="1" applyAlignment="1">
      <alignment horizontal="center" vertical="center" wrapText="1"/>
    </xf>
    <xf numFmtId="2" fontId="22" fillId="0" borderId="0" xfId="196" applyNumberFormat="1" applyFont="1" applyFill="1" applyBorder="1" applyAlignment="1">
      <alignment horizontal="center" vertical="center" wrapText="1"/>
    </xf>
    <xf numFmtId="2" fontId="22" fillId="0" borderId="0" xfId="196" applyNumberFormat="1" applyFont="1" applyAlignment="1">
      <alignment horizontal="center" vertical="center" wrapText="1"/>
    </xf>
    <xf numFmtId="2" fontId="14" fillId="0" borderId="0" xfId="196" applyNumberFormat="1" applyFont="1" applyFill="1" applyBorder="1" applyAlignment="1">
      <alignment horizontal="center" vertical="center" wrapText="1"/>
    </xf>
    <xf numFmtId="2" fontId="22" fillId="34" borderId="0" xfId="196" applyNumberFormat="1" applyFont="1" applyFill="1" applyBorder="1" applyAlignment="1">
      <alignment horizontal="center" vertical="center" wrapText="1"/>
    </xf>
    <xf numFmtId="2" fontId="16" fillId="34" borderId="0" xfId="0" applyNumberFormat="1" applyFont="1" applyFill="1" applyAlignment="1">
      <alignment horizontal="center" vertical="center" wrapText="1"/>
    </xf>
    <xf numFmtId="2" fontId="16" fillId="0" borderId="0" xfId="0" applyNumberFormat="1" applyFont="1" applyFill="1" applyAlignment="1">
      <alignment horizontal="center" vertical="center" wrapText="1"/>
    </xf>
    <xf numFmtId="2" fontId="29" fillId="0" borderId="0" xfId="0" applyNumberFormat="1" applyFont="1"/>
    <xf numFmtId="1" fontId="16" fillId="0" borderId="0" xfId="0" applyNumberFormat="1" applyFont="1" applyFill="1" applyBorder="1" applyAlignment="1">
      <alignment horizontal="center" vertical="center" wrapText="1"/>
    </xf>
    <xf numFmtId="1" fontId="16" fillId="34" borderId="0" xfId="0" applyNumberFormat="1" applyFont="1" applyFill="1" applyBorder="1" applyAlignment="1">
      <alignment horizontal="center" vertical="center" wrapText="1"/>
    </xf>
    <xf numFmtId="1" fontId="22" fillId="34" borderId="0" xfId="0" applyNumberFormat="1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left" wrapText="1"/>
    </xf>
    <xf numFmtId="1" fontId="12" fillId="34" borderId="0" xfId="0" applyNumberFormat="1" applyFont="1" applyFill="1" applyBorder="1" applyAlignment="1">
      <alignment horizontal="center" vertical="center"/>
    </xf>
    <xf numFmtId="0" fontId="122" fillId="34" borderId="70" xfId="0" applyFont="1" applyFill="1" applyBorder="1"/>
    <xf numFmtId="0" fontId="22" fillId="0" borderId="0" xfId="0" applyFont="1" applyFill="1" applyBorder="1" applyAlignment="1">
      <alignment horizontal="left" vertical="center"/>
    </xf>
    <xf numFmtId="0" fontId="12" fillId="34" borderId="0" xfId="0" applyFont="1" applyFill="1" applyBorder="1" applyAlignment="1">
      <alignment horizontal="left" vertical="center" wrapText="1"/>
    </xf>
    <xf numFmtId="0" fontId="129" fillId="34" borderId="63" xfId="0" applyFont="1" applyFill="1" applyBorder="1" applyAlignment="1">
      <alignment horizontal="right" readingOrder="1"/>
    </xf>
    <xf numFmtId="0" fontId="112" fillId="34" borderId="65" xfId="0" applyFont="1" applyFill="1" applyBorder="1" applyAlignment="1">
      <alignment horizontal="right" readingOrder="1"/>
    </xf>
    <xf numFmtId="0" fontId="38" fillId="34" borderId="0" xfId="0" applyFont="1" applyFill="1" applyBorder="1" applyAlignment="1">
      <alignment horizontal="left" vertical="top" wrapText="1"/>
    </xf>
    <xf numFmtId="0" fontId="38" fillId="0" borderId="0" xfId="0" applyFont="1" applyFill="1" applyBorder="1" applyAlignment="1">
      <alignment horizontal="left" vertical="top" wrapText="1"/>
    </xf>
    <xf numFmtId="0" fontId="38" fillId="35" borderId="0" xfId="0" applyFont="1" applyFill="1" applyBorder="1" applyAlignment="1">
      <alignment horizontal="left" vertical="top" wrapText="1"/>
    </xf>
    <xf numFmtId="0" fontId="39" fillId="34" borderId="0" xfId="0" applyFont="1" applyFill="1" applyBorder="1" applyAlignment="1">
      <alignment horizontal="left" vertical="top" wrapText="1"/>
    </xf>
    <xf numFmtId="0" fontId="39" fillId="35" borderId="0" xfId="0" applyFont="1" applyFill="1" applyBorder="1" applyAlignment="1">
      <alignment horizontal="left" vertical="top" wrapText="1"/>
    </xf>
    <xf numFmtId="0" fontId="39" fillId="0" borderId="0" xfId="0" applyFont="1" applyFill="1" applyBorder="1" applyAlignment="1">
      <alignment horizontal="left" vertical="top" wrapText="1"/>
    </xf>
    <xf numFmtId="1" fontId="38" fillId="0" borderId="0" xfId="0" applyNumberFormat="1" applyFont="1" applyBorder="1" applyAlignment="1">
      <alignment horizontal="center" vertical="center" wrapText="1"/>
    </xf>
    <xf numFmtId="1" fontId="38" fillId="34" borderId="0" xfId="0" applyNumberFormat="1" applyFont="1" applyFill="1" applyBorder="1" applyAlignment="1">
      <alignment horizontal="center" vertical="center" wrapText="1"/>
    </xf>
    <xf numFmtId="1" fontId="38" fillId="0" borderId="0" xfId="0" applyNumberFormat="1" applyFont="1" applyFill="1" applyBorder="1" applyAlignment="1">
      <alignment horizontal="center" vertical="center" wrapText="1"/>
    </xf>
    <xf numFmtId="0" fontId="39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center" vertical="center" wrapText="1"/>
    </xf>
    <xf numFmtId="1" fontId="39" fillId="34" borderId="0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2" fontId="39" fillId="0" borderId="0" xfId="0" applyNumberFormat="1" applyFont="1" applyFill="1" applyBorder="1" applyAlignment="1">
      <alignment horizontal="center" vertical="center" wrapText="1"/>
    </xf>
    <xf numFmtId="1" fontId="39" fillId="0" borderId="0" xfId="0" applyNumberFormat="1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right" wrapText="1"/>
    </xf>
    <xf numFmtId="0" fontId="38" fillId="34" borderId="0" xfId="0" applyFont="1" applyFill="1" applyBorder="1" applyAlignment="1">
      <alignment horizontal="right" wrapText="1"/>
    </xf>
    <xf numFmtId="0" fontId="38" fillId="0" borderId="0" xfId="0" applyFont="1" applyFill="1" applyBorder="1" applyAlignment="1">
      <alignment horizontal="right" wrapText="1"/>
    </xf>
    <xf numFmtId="0" fontId="38" fillId="0" borderId="0" xfId="0" applyFont="1" applyBorder="1" applyAlignment="1">
      <alignment horizontal="right" vertical="center" wrapText="1"/>
    </xf>
    <xf numFmtId="0" fontId="38" fillId="34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right" vertical="center" wrapText="1"/>
    </xf>
    <xf numFmtId="0" fontId="39" fillId="34" borderId="0" xfId="0" applyFont="1" applyFill="1" applyBorder="1" applyAlignment="1">
      <alignment horizontal="right" vertical="center" wrapText="1"/>
    </xf>
    <xf numFmtId="0" fontId="39" fillId="35" borderId="0" xfId="0" applyFont="1" applyFill="1" applyBorder="1" applyAlignment="1">
      <alignment horizontal="right" vertical="center" wrapText="1"/>
    </xf>
    <xf numFmtId="4" fontId="38" fillId="34" borderId="0" xfId="0" applyNumberFormat="1" applyFont="1" applyFill="1" applyBorder="1" applyAlignment="1">
      <alignment horizontal="center" vertical="center" wrapText="1"/>
    </xf>
    <xf numFmtId="4" fontId="38" fillId="0" borderId="0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right" vertical="center" wrapText="1"/>
    </xf>
    <xf numFmtId="0" fontId="38" fillId="34" borderId="0" xfId="0" applyFont="1" applyFill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4" fillId="0" borderId="0" xfId="136" applyNumberFormat="1" applyFont="1" applyFill="1" applyBorder="1" applyAlignment="1">
      <alignment horizontal="center" vertical="center"/>
    </xf>
    <xf numFmtId="2" fontId="14" fillId="0" borderId="0" xfId="136" applyNumberFormat="1" applyFont="1" applyFill="1" applyBorder="1" applyAlignment="1">
      <alignment horizontal="center" vertical="center"/>
    </xf>
    <xf numFmtId="0" fontId="14" fillId="34" borderId="0" xfId="0" applyFont="1" applyFill="1" applyBorder="1" applyAlignment="1">
      <alignment vertical="center" wrapText="1"/>
    </xf>
    <xf numFmtId="0" fontId="39" fillId="0" borderId="0" xfId="0" applyFont="1"/>
    <xf numFmtId="164" fontId="120" fillId="0" borderId="0" xfId="0" applyNumberFormat="1" applyFont="1" applyFill="1" applyBorder="1" applyAlignment="1">
      <alignment horizontal="left" wrapText="1"/>
    </xf>
    <xf numFmtId="0" fontId="14" fillId="0" borderId="0" xfId="0" applyFont="1" applyBorder="1" applyAlignment="1">
      <alignment horizontal="center"/>
    </xf>
    <xf numFmtId="0" fontId="22" fillId="34" borderId="0" xfId="0" applyFont="1" applyFill="1" applyBorder="1" applyAlignment="1">
      <alignment horizontal="center" vertical="center" wrapText="1"/>
    </xf>
    <xf numFmtId="164" fontId="22" fillId="34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top" wrapText="1"/>
    </xf>
    <xf numFmtId="0" fontId="14" fillId="34" borderId="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 wrapText="1"/>
    </xf>
    <xf numFmtId="0" fontId="22" fillId="34" borderId="0" xfId="0" applyFont="1" applyFill="1" applyBorder="1" applyAlignment="1">
      <alignment horizontal="left" vertical="top" wrapText="1"/>
    </xf>
    <xf numFmtId="0" fontId="14" fillId="34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22" fillId="34" borderId="0" xfId="0" applyFont="1" applyFill="1" applyBorder="1" applyAlignment="1">
      <alignment horizontal="left" vertical="top"/>
    </xf>
    <xf numFmtId="3" fontId="38" fillId="0" borderId="0" xfId="0" applyNumberFormat="1" applyFont="1" applyFill="1" applyBorder="1" applyAlignment="1">
      <alignment horizontal="center" vertical="center" wrapText="1"/>
    </xf>
    <xf numFmtId="3" fontId="38" fillId="34" borderId="0" xfId="0" applyNumberFormat="1" applyFont="1" applyFill="1" applyBorder="1" applyAlignment="1">
      <alignment horizontal="center" vertical="center" wrapText="1"/>
    </xf>
    <xf numFmtId="1" fontId="112" fillId="34" borderId="63" xfId="0" applyNumberFormat="1" applyFont="1" applyFill="1" applyBorder="1" applyAlignment="1">
      <alignment horizontal="right" readingOrder="1"/>
    </xf>
    <xf numFmtId="1" fontId="122" fillId="0" borderId="58" xfId="0" applyNumberFormat="1" applyFont="1" applyFill="1" applyBorder="1" applyAlignment="1">
      <alignment horizontal="right" readingOrder="1"/>
    </xf>
    <xf numFmtId="164" fontId="122" fillId="0" borderId="58" xfId="0" applyNumberFormat="1" applyFont="1" applyFill="1" applyBorder="1" applyAlignment="1">
      <alignment horizontal="right" readingOrder="1"/>
    </xf>
    <xf numFmtId="0" fontId="122" fillId="0" borderId="58" xfId="0" applyFont="1" applyFill="1" applyBorder="1" applyAlignment="1">
      <alignment horizontal="right" readingOrder="1"/>
    </xf>
    <xf numFmtId="0" fontId="122" fillId="0" borderId="70" xfId="0" applyFont="1" applyFill="1" applyBorder="1"/>
    <xf numFmtId="0" fontId="122" fillId="0" borderId="57" xfId="0" applyFont="1" applyFill="1" applyBorder="1"/>
    <xf numFmtId="0" fontId="15" fillId="0" borderId="57" xfId="0" applyFont="1" applyBorder="1" applyAlignment="1">
      <alignment vertical="top" wrapText="1"/>
    </xf>
    <xf numFmtId="0" fontId="9" fillId="0" borderId="0" xfId="0" applyFont="1" applyFill="1" applyBorder="1" applyAlignment="1">
      <alignment vertical="center" wrapText="1"/>
    </xf>
    <xf numFmtId="0" fontId="9" fillId="0" borderId="57" xfId="0" applyFont="1" applyBorder="1" applyAlignment="1">
      <alignment horizontal="right" vertical="center" wrapText="1"/>
    </xf>
    <xf numFmtId="0" fontId="9" fillId="0" borderId="57" xfId="0" applyFont="1" applyFill="1" applyBorder="1" applyAlignment="1">
      <alignment horizontal="left" vertical="center" wrapText="1"/>
    </xf>
    <xf numFmtId="0" fontId="9" fillId="0" borderId="57" xfId="0" applyFont="1" applyFill="1" applyBorder="1" applyAlignment="1">
      <alignment vertical="center" wrapText="1"/>
    </xf>
    <xf numFmtId="0" fontId="9" fillId="0" borderId="57" xfId="0" applyFont="1" applyFill="1" applyBorder="1" applyAlignment="1">
      <alignment horizontal="center" vertical="center" wrapText="1"/>
    </xf>
    <xf numFmtId="0" fontId="12" fillId="0" borderId="57" xfId="0" applyFont="1" applyFill="1" applyBorder="1" applyAlignment="1">
      <alignment horizontal="center" vertical="center" wrapText="1"/>
    </xf>
    <xf numFmtId="0" fontId="8" fillId="0" borderId="57" xfId="0" applyFont="1" applyBorder="1" applyAlignment="1">
      <alignment vertical="center"/>
    </xf>
    <xf numFmtId="0" fontId="9" fillId="0" borderId="57" xfId="0" applyFont="1" applyFill="1" applyBorder="1" applyAlignment="1">
      <alignment horizontal="right" vertical="center" wrapText="1"/>
    </xf>
    <xf numFmtId="0" fontId="8" fillId="0" borderId="57" xfId="0" applyFont="1" applyFill="1" applyBorder="1" applyAlignment="1">
      <alignment wrapText="1"/>
    </xf>
    <xf numFmtId="0" fontId="12" fillId="0" borderId="57" xfId="0" applyFont="1" applyFill="1" applyBorder="1" applyAlignment="1">
      <alignment horizontal="right" vertical="center" wrapText="1"/>
    </xf>
    <xf numFmtId="0" fontId="38" fillId="0" borderId="0" xfId="0" applyFont="1" applyFill="1" applyAlignment="1">
      <alignment horizontal="center" vertical="center"/>
    </xf>
    <xf numFmtId="1" fontId="38" fillId="0" borderId="0" xfId="0" applyNumberFormat="1" applyFont="1" applyFill="1" applyBorder="1" applyAlignment="1">
      <alignment horizontal="center" vertical="center"/>
    </xf>
    <xf numFmtId="46" fontId="13" fillId="34" borderId="0" xfId="0" applyNumberFormat="1" applyFont="1" applyFill="1" applyBorder="1" applyAlignment="1">
      <alignment horizontal="left" vertical="center"/>
    </xf>
    <xf numFmtId="1" fontId="38" fillId="34" borderId="0" xfId="0" applyNumberFormat="1" applyFont="1" applyFill="1" applyBorder="1" applyAlignment="1">
      <alignment horizontal="center" vertical="center"/>
    </xf>
    <xf numFmtId="46" fontId="13" fillId="0" borderId="0" xfId="0" applyNumberFormat="1" applyFont="1" applyFill="1" applyBorder="1" applyAlignment="1">
      <alignment horizontal="left" vertical="center"/>
    </xf>
    <xf numFmtId="46" fontId="38" fillId="34" borderId="0" xfId="0" applyNumberFormat="1" applyFont="1" applyFill="1" applyBorder="1" applyAlignment="1">
      <alignment horizontal="left" vertical="center"/>
    </xf>
    <xf numFmtId="0" fontId="40" fillId="34" borderId="12" xfId="0" applyFont="1" applyFill="1" applyBorder="1" applyAlignment="1">
      <alignment horizontal="center" vertical="center" wrapText="1"/>
    </xf>
    <xf numFmtId="2" fontId="40" fillId="34" borderId="12" xfId="0" applyNumberFormat="1" applyFont="1" applyFill="1" applyBorder="1" applyAlignment="1">
      <alignment horizontal="center" vertical="center" wrapText="1"/>
    </xf>
    <xf numFmtId="37" fontId="14" fillId="0" borderId="0" xfId="0" applyNumberFormat="1" applyFont="1" applyFill="1" applyBorder="1" applyAlignment="1">
      <alignment horizontal="center" vertical="center" wrapText="1"/>
    </xf>
    <xf numFmtId="46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37" fontId="14" fillId="34" borderId="0" xfId="0" applyNumberFormat="1" applyFont="1" applyFill="1" applyBorder="1" applyAlignment="1">
      <alignment horizontal="center" vertical="center" wrapText="1"/>
    </xf>
    <xf numFmtId="0" fontId="14" fillId="34" borderId="0" xfId="0" applyFont="1" applyFill="1" applyBorder="1" applyAlignment="1">
      <alignment horizontal="center" wrapText="1"/>
    </xf>
    <xf numFmtId="0" fontId="12" fillId="34" borderId="0" xfId="0" applyFont="1" applyFill="1" applyBorder="1" applyAlignment="1">
      <alignment horizontal="center" wrapText="1"/>
    </xf>
    <xf numFmtId="2" fontId="18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left" vertical="center" wrapText="1"/>
    </xf>
    <xf numFmtId="0" fontId="38" fillId="34" borderId="12" xfId="0" applyFont="1" applyFill="1" applyBorder="1" applyAlignment="1">
      <alignment horizontal="center" vertical="center"/>
    </xf>
    <xf numFmtId="2" fontId="38" fillId="34" borderId="12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/>
    </xf>
    <xf numFmtId="0" fontId="9" fillId="34" borderId="0" xfId="0" applyFont="1" applyFill="1" applyBorder="1" applyAlignment="1">
      <alignment vertical="center" wrapText="1"/>
    </xf>
    <xf numFmtId="2" fontId="38" fillId="34" borderId="12" xfId="0" applyNumberFormat="1" applyFont="1" applyFill="1" applyBorder="1" applyAlignment="1">
      <alignment horizontal="center" vertical="center" wrapText="1"/>
    </xf>
    <xf numFmtId="2" fontId="112" fillId="34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right"/>
    </xf>
    <xf numFmtId="164" fontId="14" fillId="37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top" wrapText="1"/>
    </xf>
    <xf numFmtId="1" fontId="112" fillId="34" borderId="0" xfId="0" applyNumberFormat="1" applyFont="1" applyFill="1" applyBorder="1" applyAlignment="1">
      <alignment horizontal="center" vertical="center" wrapText="1"/>
    </xf>
    <xf numFmtId="0" fontId="122" fillId="0" borderId="63" xfId="0" applyFont="1" applyFill="1" applyBorder="1"/>
    <xf numFmtId="0" fontId="12" fillId="0" borderId="2" xfId="0" applyFont="1" applyBorder="1" applyAlignment="1">
      <alignment horizontal="center" vertical="center" wrapText="1"/>
    </xf>
    <xf numFmtId="4" fontId="6" fillId="0" borderId="0" xfId="0" applyNumberFormat="1" applyFont="1" applyFill="1" applyBorder="1"/>
    <xf numFmtId="2" fontId="6" fillId="0" borderId="0" xfId="0" applyNumberFormat="1" applyFont="1" applyFill="1" applyBorder="1"/>
    <xf numFmtId="3" fontId="6" fillId="0" borderId="0" xfId="0" applyNumberFormat="1" applyFont="1" applyFill="1" applyBorder="1"/>
    <xf numFmtId="0" fontId="12" fillId="0" borderId="12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right" vertical="center" wrapText="1"/>
    </xf>
    <xf numFmtId="0" fontId="0" fillId="0" borderId="0" xfId="0" applyFill="1" applyAlignment="1">
      <alignment horizontal="right" wrapText="1"/>
    </xf>
    <xf numFmtId="0" fontId="40" fillId="34" borderId="12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 wrapText="1"/>
    </xf>
    <xf numFmtId="1" fontId="6" fillId="0" borderId="0" xfId="0" applyNumberFormat="1" applyFont="1"/>
    <xf numFmtId="0" fontId="122" fillId="34" borderId="21" xfId="0" applyFont="1" applyFill="1" applyBorder="1"/>
    <xf numFmtId="1" fontId="122" fillId="34" borderId="0" xfId="0" applyNumberFormat="1" applyFont="1" applyFill="1" applyBorder="1" applyAlignment="1">
      <alignment horizontal="right" readingOrder="1"/>
    </xf>
    <xf numFmtId="164" fontId="122" fillId="34" borderId="0" xfId="0" applyNumberFormat="1" applyFont="1" applyFill="1" applyBorder="1" applyAlignment="1">
      <alignment horizontal="right" readingOrder="1"/>
    </xf>
    <xf numFmtId="0" fontId="122" fillId="34" borderId="0" xfId="0" applyFont="1" applyFill="1" applyBorder="1" applyAlignment="1">
      <alignment horizontal="right" readingOrder="1"/>
    </xf>
    <xf numFmtId="0" fontId="122" fillId="34" borderId="23" xfId="0" applyFont="1" applyFill="1" applyBorder="1" applyAlignment="1">
      <alignment horizontal="right" readingOrder="1"/>
    </xf>
    <xf numFmtId="0" fontId="122" fillId="0" borderId="59" xfId="0" applyFont="1" applyFill="1" applyBorder="1" applyAlignment="1">
      <alignment horizontal="right" readingOrder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wrapText="1"/>
    </xf>
    <xf numFmtId="0" fontId="22" fillId="34" borderId="0" xfId="0" applyFont="1" applyFill="1" applyBorder="1" applyAlignment="1">
      <alignment horizontal="left" vertical="center"/>
    </xf>
    <xf numFmtId="1" fontId="130" fillId="0" borderId="2" xfId="0" applyNumberFormat="1" applyFont="1" applyFill="1" applyBorder="1" applyAlignment="1">
      <alignment horizontal="center" vertical="center"/>
    </xf>
    <xf numFmtId="0" fontId="123" fillId="0" borderId="0" xfId="0" applyFont="1" applyFill="1" applyBorder="1" applyAlignment="1">
      <alignment horizontal="center" vertical="center"/>
    </xf>
    <xf numFmtId="0" fontId="125" fillId="0" borderId="59" xfId="0" applyFont="1" applyBorder="1" applyAlignment="1">
      <alignment horizontal="center" vertical="top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right"/>
    </xf>
    <xf numFmtId="0" fontId="29" fillId="0" borderId="0" xfId="0" applyFont="1" applyFill="1" applyAlignment="1">
      <alignment horizontal="right"/>
    </xf>
    <xf numFmtId="0" fontId="22" fillId="34" borderId="0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 wrapText="1"/>
    </xf>
    <xf numFmtId="4" fontId="0" fillId="0" borderId="0" xfId="0" applyNumberFormat="1"/>
    <xf numFmtId="164" fontId="120" fillId="34" borderId="12" xfId="0" applyNumberFormat="1" applyFont="1" applyFill="1" applyBorder="1" applyAlignment="1">
      <alignment horizontal="center" vertical="center" wrapText="1"/>
    </xf>
    <xf numFmtId="0" fontId="15" fillId="0" borderId="57" xfId="0" applyFont="1" applyBorder="1" applyAlignment="1">
      <alignment horizontal="right" wrapText="1"/>
    </xf>
    <xf numFmtId="0" fontId="15" fillId="0" borderId="57" xfId="0" applyFont="1" applyBorder="1" applyAlignment="1">
      <alignment wrapText="1"/>
    </xf>
    <xf numFmtId="0" fontId="12" fillId="0" borderId="57" xfId="0" applyFont="1" applyBorder="1" applyAlignment="1">
      <alignment wrapText="1"/>
    </xf>
    <xf numFmtId="164" fontId="120" fillId="37" borderId="0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152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/>
    </xf>
    <xf numFmtId="0" fontId="152" fillId="0" borderId="0" xfId="0" applyFont="1" applyBorder="1" applyAlignment="1">
      <alignment vertical="top"/>
    </xf>
    <xf numFmtId="0" fontId="152" fillId="0" borderId="12" xfId="0" applyFont="1" applyBorder="1" applyAlignment="1">
      <alignment vertical="top"/>
    </xf>
    <xf numFmtId="1" fontId="13" fillId="0" borderId="0" xfId="0" applyNumberFormat="1" applyFont="1" applyFill="1" applyBorder="1" applyAlignment="1">
      <alignment horizontal="left"/>
    </xf>
    <xf numFmtId="1" fontId="14" fillId="0" borderId="0" xfId="0" applyNumberFormat="1" applyFont="1" applyFill="1" applyAlignment="1"/>
    <xf numFmtId="164" fontId="83" fillId="0" borderId="0" xfId="0" applyNumberFormat="1" applyFont="1"/>
    <xf numFmtId="2" fontId="33" fillId="0" borderId="0" xfId="0" applyNumberFormat="1" applyFont="1" applyBorder="1" applyAlignment="1">
      <alignment vertical="center"/>
    </xf>
    <xf numFmtId="2" fontId="29" fillId="0" borderId="12" xfId="0" applyNumberFormat="1" applyFont="1" applyFill="1" applyBorder="1" applyAlignment="1">
      <alignment horizontal="center"/>
    </xf>
    <xf numFmtId="1" fontId="122" fillId="0" borderId="0" xfId="0" applyNumberFormat="1" applyFont="1" applyFill="1" applyBorder="1" applyAlignment="1">
      <alignment horizontal="right" readingOrder="1"/>
    </xf>
    <xf numFmtId="164" fontId="122" fillId="0" borderId="0" xfId="0" applyNumberFormat="1" applyFont="1" applyFill="1" applyBorder="1" applyAlignment="1">
      <alignment horizontal="right" readingOrder="1"/>
    </xf>
    <xf numFmtId="0" fontId="122" fillId="0" borderId="0" xfId="0" applyFont="1" applyFill="1" applyBorder="1" applyAlignment="1">
      <alignment horizontal="right" readingOrder="1"/>
    </xf>
    <xf numFmtId="0" fontId="122" fillId="0" borderId="23" xfId="0" applyFont="1" applyFill="1" applyBorder="1" applyAlignment="1">
      <alignment horizontal="right" readingOrder="1"/>
    </xf>
    <xf numFmtId="0" fontId="122" fillId="0" borderId="21" xfId="0" applyFont="1" applyFill="1" applyBorder="1"/>
    <xf numFmtId="164" fontId="112" fillId="34" borderId="63" xfId="0" applyNumberFormat="1" applyFont="1" applyFill="1" applyBorder="1"/>
    <xf numFmtId="164" fontId="122" fillId="34" borderId="57" xfId="0" applyNumberFormat="1" applyFont="1" applyFill="1" applyBorder="1"/>
    <xf numFmtId="164" fontId="112" fillId="34" borderId="0" xfId="0" applyNumberFormat="1" applyFont="1" applyFill="1" applyBorder="1"/>
    <xf numFmtId="164" fontId="112" fillId="0" borderId="0" xfId="0" applyNumberFormat="1" applyFont="1" applyFill="1" applyBorder="1"/>
    <xf numFmtId="164" fontId="122" fillId="0" borderId="57" xfId="0" applyNumberFormat="1" applyFont="1" applyFill="1" applyBorder="1"/>
    <xf numFmtId="164" fontId="112" fillId="0" borderId="63" xfId="0" applyNumberFormat="1" applyFont="1" applyFill="1" applyBorder="1"/>
    <xf numFmtId="39" fontId="38" fillId="34" borderId="0" xfId="0" applyNumberFormat="1" applyFont="1" applyFill="1" applyBorder="1" applyAlignment="1">
      <alignment horizontal="center" vertical="center" wrapText="1"/>
    </xf>
    <xf numFmtId="14" fontId="38" fillId="34" borderId="0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83" fillId="0" borderId="0" xfId="0" applyNumberFormat="1" applyFont="1" applyAlignment="1">
      <alignment horizontal="left" wrapText="1"/>
    </xf>
    <xf numFmtId="2" fontId="33" fillId="0" borderId="0" xfId="0" applyNumberFormat="1" applyFont="1"/>
    <xf numFmtId="1" fontId="33" fillId="0" borderId="0" xfId="0" applyNumberFormat="1" applyFont="1" applyBorder="1"/>
    <xf numFmtId="0" fontId="33" fillId="0" borderId="0" xfId="0" applyFont="1" applyFill="1" applyBorder="1" applyAlignment="1">
      <alignment horizontal="center"/>
    </xf>
    <xf numFmtId="0" fontId="125" fillId="34" borderId="0" xfId="0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0" fontId="29" fillId="0" borderId="2" xfId="0" applyFont="1" applyFill="1" applyBorder="1" applyAlignment="1">
      <alignment horizontal="center" vertical="center" wrapText="1"/>
    </xf>
    <xf numFmtId="0" fontId="29" fillId="0" borderId="6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wrapText="1"/>
    </xf>
    <xf numFmtId="0" fontId="29" fillId="0" borderId="2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9" fillId="0" borderId="0" xfId="0" applyFont="1" applyFill="1" applyAlignment="1">
      <alignment horizontal="right"/>
    </xf>
    <xf numFmtId="0" fontId="28" fillId="0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/>
    </xf>
    <xf numFmtId="0" fontId="28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wrapText="1"/>
    </xf>
    <xf numFmtId="0" fontId="8" fillId="0" borderId="2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3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wrapText="1"/>
    </xf>
    <xf numFmtId="0" fontId="38" fillId="0" borderId="0" xfId="0" applyFont="1" applyBorder="1" applyAlignment="1">
      <alignment horizontal="left" vertical="top" wrapText="1"/>
    </xf>
    <xf numFmtId="0" fontId="12" fillId="0" borderId="57" xfId="0" applyFont="1" applyBorder="1" applyAlignment="1">
      <alignment horizontal="right" wrapText="1"/>
    </xf>
    <xf numFmtId="0" fontId="15" fillId="0" borderId="61" xfId="0" applyFont="1" applyBorder="1" applyAlignment="1">
      <alignment horizontal="center" vertical="center" wrapText="1"/>
    </xf>
    <xf numFmtId="0" fontId="29" fillId="0" borderId="57" xfId="0" applyFont="1" applyFill="1" applyBorder="1" applyAlignment="1">
      <alignment vertical="top" wrapText="1"/>
    </xf>
    <xf numFmtId="0" fontId="22" fillId="0" borderId="61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20" fillId="0" borderId="0" xfId="0" applyFont="1" applyBorder="1" applyAlignment="1">
      <alignment wrapText="1"/>
    </xf>
    <xf numFmtId="0" fontId="6" fillId="0" borderId="0" xfId="0" applyFont="1" applyFill="1" applyAlignment="1">
      <alignment horizontal="center" vertical="center"/>
    </xf>
    <xf numFmtId="49" fontId="33" fillId="0" borderId="0" xfId="0" applyNumberFormat="1" applyFont="1"/>
    <xf numFmtId="0" fontId="12" fillId="34" borderId="0" xfId="0" applyFont="1" applyFill="1" applyBorder="1" applyAlignment="1">
      <alignment horizontal="left" vertical="center" wrapText="1"/>
    </xf>
    <xf numFmtId="1" fontId="33" fillId="0" borderId="0" xfId="0" applyNumberFormat="1" applyFont="1"/>
    <xf numFmtId="1" fontId="178" fillId="0" borderId="2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1" fontId="14" fillId="0" borderId="12" xfId="0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6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right" wrapText="1"/>
    </xf>
    <xf numFmtId="0" fontId="125" fillId="0" borderId="2" xfId="0" applyFont="1" applyBorder="1" applyAlignment="1">
      <alignment horizontal="center" vertical="top" wrapText="1"/>
    </xf>
    <xf numFmtId="0" fontId="40" fillId="0" borderId="12" xfId="0" applyFont="1" applyFill="1" applyBorder="1" applyAlignment="1">
      <alignment horizontal="left" vertical="center"/>
    </xf>
    <xf numFmtId="0" fontId="163" fillId="0" borderId="0" xfId="0" applyFont="1" applyAlignment="1">
      <alignment wrapText="1"/>
    </xf>
    <xf numFmtId="0" fontId="125" fillId="0" borderId="59" xfId="0" applyFont="1" applyBorder="1" applyAlignment="1">
      <alignment horizontal="center" vertical="center" wrapText="1"/>
    </xf>
    <xf numFmtId="0" fontId="122" fillId="34" borderId="0" xfId="232" applyFont="1" applyFill="1" applyBorder="1" applyAlignment="1">
      <alignment horizontal="left" vertical="center" wrapText="1"/>
    </xf>
    <xf numFmtId="0" fontId="122" fillId="34" borderId="0" xfId="0" applyFont="1" applyFill="1" applyBorder="1" applyAlignment="1">
      <alignment horizontal="center" vertical="center"/>
    </xf>
    <xf numFmtId="0" fontId="112" fillId="0" borderId="0" xfId="0" applyFont="1" applyFill="1" applyBorder="1" applyAlignment="1">
      <alignment horizontal="left" wrapText="1"/>
    </xf>
    <xf numFmtId="0" fontId="112" fillId="34" borderId="0" xfId="0" applyFont="1" applyFill="1" applyBorder="1" applyAlignment="1">
      <alignment horizontal="left" wrapText="1"/>
    </xf>
    <xf numFmtId="0" fontId="112" fillId="34" borderId="0" xfId="0" applyFont="1" applyFill="1" applyBorder="1" applyAlignment="1">
      <alignment horizontal="center" vertical="center"/>
    </xf>
    <xf numFmtId="0" fontId="122" fillId="0" borderId="0" xfId="232" applyFont="1" applyFill="1" applyBorder="1" applyAlignment="1">
      <alignment horizontal="left" vertical="center" wrapText="1"/>
    </xf>
    <xf numFmtId="0" fontId="122" fillId="0" borderId="0" xfId="0" applyFont="1" applyFill="1" applyBorder="1" applyAlignment="1">
      <alignment horizontal="center" vertical="center"/>
    </xf>
    <xf numFmtId="0" fontId="122" fillId="34" borderId="0" xfId="0" applyFont="1" applyFill="1" applyBorder="1" applyAlignment="1">
      <alignment horizontal="left" vertical="center" wrapText="1"/>
    </xf>
    <xf numFmtId="0" fontId="112" fillId="0" borderId="0" xfId="0" applyFont="1" applyFill="1" applyBorder="1" applyAlignment="1">
      <alignment horizontal="left" vertical="center" wrapText="1"/>
    </xf>
    <xf numFmtId="0" fontId="112" fillId="34" borderId="0" xfId="0" applyFont="1" applyFill="1" applyBorder="1" applyAlignment="1">
      <alignment horizontal="left" vertical="center" wrapText="1"/>
    </xf>
    <xf numFmtId="0" fontId="136" fillId="34" borderId="0" xfId="0" applyFont="1" applyFill="1" applyBorder="1" applyAlignment="1">
      <alignment horizontal="right" readingOrder="1"/>
    </xf>
    <xf numFmtId="0" fontId="136" fillId="0" borderId="58" xfId="0" applyFont="1" applyFill="1" applyBorder="1" applyAlignment="1">
      <alignment horizontal="right" readingOrder="1"/>
    </xf>
    <xf numFmtId="1" fontId="122" fillId="34" borderId="57" xfId="0" applyNumberFormat="1" applyFont="1" applyFill="1" applyBorder="1" applyAlignment="1">
      <alignment horizontal="right" readingOrder="1"/>
    </xf>
    <xf numFmtId="0" fontId="14" fillId="34" borderId="21" xfId="0" applyFont="1" applyFill="1" applyBorder="1" applyAlignment="1">
      <alignment horizontal="left" wrapText="1"/>
    </xf>
    <xf numFmtId="0" fontId="122" fillId="0" borderId="7" xfId="0" applyFont="1" applyFill="1" applyBorder="1"/>
    <xf numFmtId="1" fontId="122" fillId="0" borderId="0" xfId="0" applyNumberFormat="1" applyFont="1" applyFill="1"/>
    <xf numFmtId="164" fontId="122" fillId="0" borderId="0" xfId="0" applyNumberFormat="1" applyFont="1" applyFill="1"/>
    <xf numFmtId="1" fontId="112" fillId="0" borderId="63" xfId="0" applyNumberFormat="1" applyFont="1" applyFill="1" applyBorder="1"/>
    <xf numFmtId="0" fontId="112" fillId="0" borderId="63" xfId="0" applyFont="1" applyFill="1" applyBorder="1"/>
    <xf numFmtId="1" fontId="122" fillId="0" borderId="1" xfId="0" applyNumberFormat="1" applyFont="1" applyFill="1" applyBorder="1"/>
    <xf numFmtId="164" fontId="122" fillId="0" borderId="1" xfId="0" applyNumberFormat="1" applyFont="1" applyFill="1" applyBorder="1"/>
    <xf numFmtId="0" fontId="122" fillId="0" borderId="1" xfId="0" applyFont="1" applyFill="1" applyBorder="1"/>
    <xf numFmtId="1" fontId="16" fillId="34" borderId="57" xfId="0" applyNumberFormat="1" applyFont="1" applyFill="1" applyBorder="1" applyAlignment="1">
      <alignment vertical="center"/>
    </xf>
    <xf numFmtId="164" fontId="16" fillId="34" borderId="57" xfId="0" applyNumberFormat="1" applyFont="1" applyFill="1" applyBorder="1" applyAlignment="1">
      <alignment vertical="center"/>
    </xf>
    <xf numFmtId="1" fontId="122" fillId="34" borderId="0" xfId="0" applyNumberFormat="1" applyFont="1" applyFill="1" applyBorder="1"/>
    <xf numFmtId="164" fontId="122" fillId="34" borderId="0" xfId="0" applyNumberFormat="1" applyFont="1" applyFill="1" applyBorder="1"/>
    <xf numFmtId="0" fontId="122" fillId="0" borderId="68" xfId="0" applyFont="1" applyFill="1" applyBorder="1"/>
    <xf numFmtId="0" fontId="112" fillId="0" borderId="65" xfId="0" applyFont="1" applyFill="1" applyBorder="1"/>
    <xf numFmtId="0" fontId="122" fillId="34" borderId="68" xfId="0" applyFont="1" applyFill="1" applyBorder="1" applyAlignment="1">
      <alignment horizontal="right" readingOrder="1"/>
    </xf>
    <xf numFmtId="1" fontId="40" fillId="34" borderId="0" xfId="0" applyNumberFormat="1" applyFont="1" applyFill="1" applyBorder="1" applyAlignment="1">
      <alignment vertical="center"/>
    </xf>
    <xf numFmtId="1" fontId="16" fillId="34" borderId="68" xfId="0" applyNumberFormat="1" applyFont="1" applyFill="1" applyBorder="1" applyAlignment="1">
      <alignment vertical="center"/>
    </xf>
    <xf numFmtId="0" fontId="83" fillId="0" borderId="0" xfId="0" applyFont="1" applyBorder="1" applyAlignment="1">
      <alignment horizontal="left" wrapText="1"/>
    </xf>
    <xf numFmtId="0" fontId="83" fillId="0" borderId="0" xfId="0" applyFont="1" applyAlignment="1">
      <alignment horizontal="left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7" fillId="0" borderId="6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29" fillId="0" borderId="0" xfId="0" applyFont="1" applyAlignment="1">
      <alignment horizontal="left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 wrapText="1"/>
    </xf>
    <xf numFmtId="1" fontId="17" fillId="0" borderId="0" xfId="0" applyNumberFormat="1" applyFont="1" applyBorder="1" applyAlignment="1">
      <alignment horizontal="left" wrapText="1"/>
    </xf>
    <xf numFmtId="0" fontId="40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/>
    </xf>
    <xf numFmtId="0" fontId="26" fillId="0" borderId="0" xfId="0" applyFont="1" applyFill="1" applyBorder="1" applyAlignment="1">
      <alignment horizontal="left" wrapText="1"/>
    </xf>
    <xf numFmtId="0" fontId="34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12" fillId="0" borderId="0" xfId="0" applyFont="1" applyFill="1" applyBorder="1" applyAlignment="1">
      <alignment horizontal="left" wrapText="1"/>
    </xf>
    <xf numFmtId="0" fontId="125" fillId="0" borderId="2" xfId="0" applyFont="1" applyBorder="1" applyAlignment="1">
      <alignment horizontal="center" vertical="top" wrapText="1"/>
    </xf>
    <xf numFmtId="0" fontId="12" fillId="0" borderId="68" xfId="0" applyFont="1" applyBorder="1" applyAlignment="1">
      <alignment horizontal="center" vertical="center" wrapText="1"/>
    </xf>
    <xf numFmtId="180" fontId="13" fillId="0" borderId="0" xfId="0" applyNumberFormat="1" applyFont="1"/>
    <xf numFmtId="166" fontId="13" fillId="0" borderId="0" xfId="0" applyNumberFormat="1" applyFont="1"/>
    <xf numFmtId="2" fontId="112" fillId="34" borderId="12" xfId="0" applyNumberFormat="1" applyFont="1" applyFill="1" applyBorder="1" applyAlignment="1">
      <alignment horizontal="center" vertical="center" wrapText="1"/>
    </xf>
    <xf numFmtId="2" fontId="12" fillId="34" borderId="12" xfId="0" applyNumberFormat="1" applyFont="1" applyFill="1" applyBorder="1" applyAlignment="1">
      <alignment horizontal="center" vertical="center"/>
    </xf>
    <xf numFmtId="46" fontId="24" fillId="0" borderId="0" xfId="0" applyNumberFormat="1" applyFont="1" applyFill="1" applyBorder="1" applyAlignment="1">
      <alignment horizontal="left" vertical="center"/>
    </xf>
    <xf numFmtId="46" fontId="24" fillId="34" borderId="0" xfId="0" applyNumberFormat="1" applyFont="1" applyFill="1" applyBorder="1" applyAlignment="1">
      <alignment horizontal="left" vertical="center"/>
    </xf>
    <xf numFmtId="46" fontId="14" fillId="0" borderId="0" xfId="0" applyNumberFormat="1" applyFont="1" applyFill="1" applyBorder="1" applyAlignment="1">
      <alignment horizontal="left" vertical="center"/>
    </xf>
    <xf numFmtId="46" fontId="14" fillId="34" borderId="0" xfId="0" applyNumberFormat="1" applyFont="1" applyFill="1" applyBorder="1" applyAlignment="1">
      <alignment horizontal="left" vertical="center"/>
    </xf>
    <xf numFmtId="0" fontId="38" fillId="0" borderId="0" xfId="0" applyNumberFormat="1" applyFont="1" applyFill="1" applyBorder="1" applyAlignment="1">
      <alignment horizontal="center" vertical="center"/>
    </xf>
    <xf numFmtId="2" fontId="33" fillId="0" borderId="0" xfId="0" applyNumberFormat="1" applyFont="1" applyFill="1" applyBorder="1" applyAlignment="1">
      <alignment vertical="center"/>
    </xf>
    <xf numFmtId="2" fontId="17" fillId="0" borderId="0" xfId="0" applyNumberFormat="1" applyFont="1" applyFill="1" applyBorder="1" applyAlignment="1">
      <alignment horizontal="center" vertical="center"/>
    </xf>
    <xf numFmtId="2" fontId="17" fillId="34" borderId="0" xfId="0" applyNumberFormat="1" applyFont="1" applyFill="1" applyBorder="1" applyAlignment="1">
      <alignment horizontal="center" vertical="center"/>
    </xf>
    <xf numFmtId="2" fontId="33" fillId="34" borderId="0" xfId="0" applyNumberFormat="1" applyFont="1" applyFill="1" applyBorder="1" applyAlignment="1">
      <alignment vertical="center"/>
    </xf>
    <xf numFmtId="0" fontId="38" fillId="34" borderId="0" xfId="0" applyNumberFormat="1" applyFont="1" applyFill="1" applyBorder="1" applyAlignment="1">
      <alignment horizontal="center" vertical="center"/>
    </xf>
    <xf numFmtId="0" fontId="38" fillId="34" borderId="12" xfId="0" applyFont="1" applyFill="1" applyBorder="1" applyAlignment="1">
      <alignment horizontal="center"/>
    </xf>
    <xf numFmtId="2" fontId="14" fillId="34" borderId="12" xfId="0" applyNumberFormat="1" applyFont="1" applyFill="1" applyBorder="1" applyAlignment="1">
      <alignment horizontal="center"/>
    </xf>
    <xf numFmtId="0" fontId="14" fillId="34" borderId="12" xfId="0" applyFont="1" applyFill="1" applyBorder="1" applyAlignment="1">
      <alignment horizontal="center"/>
    </xf>
    <xf numFmtId="164" fontId="112" fillId="0" borderId="12" xfId="0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left" vertical="center"/>
    </xf>
    <xf numFmtId="164" fontId="112" fillId="0" borderId="12" xfId="0" applyNumberFormat="1" applyFont="1" applyFill="1" applyBorder="1" applyAlignment="1">
      <alignment horizontal="center" vertical="center"/>
    </xf>
    <xf numFmtId="166" fontId="14" fillId="0" borderId="12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right" vertical="center"/>
    </xf>
    <xf numFmtId="0" fontId="14" fillId="0" borderId="12" xfId="0" applyFont="1" applyFill="1" applyBorder="1" applyAlignment="1">
      <alignment horizontal="left" wrapText="1"/>
    </xf>
    <xf numFmtId="1" fontId="14" fillId="0" borderId="12" xfId="0" applyNumberFormat="1" applyFont="1" applyFill="1" applyBorder="1" applyAlignment="1">
      <alignment horizontal="center" vertical="center" wrapText="1"/>
    </xf>
    <xf numFmtId="2" fontId="38" fillId="0" borderId="12" xfId="0" applyNumberFormat="1" applyFont="1" applyFill="1" applyBorder="1" applyAlignment="1">
      <alignment horizontal="center"/>
    </xf>
    <xf numFmtId="2" fontId="47" fillId="0" borderId="12" xfId="0" applyNumberFormat="1" applyFont="1" applyFill="1" applyBorder="1" applyAlignment="1">
      <alignment horizontal="center" vertical="center"/>
    </xf>
    <xf numFmtId="0" fontId="126" fillId="0" borderId="12" xfId="0" applyFont="1" applyFill="1" applyBorder="1" applyAlignment="1">
      <alignment horizontal="left" vertical="center"/>
    </xf>
    <xf numFmtId="0" fontId="126" fillId="0" borderId="12" xfId="0" applyFont="1" applyFill="1" applyBorder="1" applyAlignment="1">
      <alignment horizontal="center" vertical="center"/>
    </xf>
    <xf numFmtId="0" fontId="112" fillId="0" borderId="12" xfId="0" applyFont="1" applyFill="1" applyBorder="1" applyAlignment="1">
      <alignment horizontal="left" vertical="center" wrapText="1"/>
    </xf>
    <xf numFmtId="0" fontId="112" fillId="0" borderId="12" xfId="0" applyFont="1" applyFill="1" applyBorder="1" applyAlignment="1">
      <alignment horizontal="center" vertical="center"/>
    </xf>
    <xf numFmtId="0" fontId="14" fillId="0" borderId="12" xfId="0" applyFont="1" applyFill="1" applyBorder="1" applyAlignment="1"/>
    <xf numFmtId="0" fontId="120" fillId="34" borderId="12" xfId="0" applyFont="1" applyFill="1" applyBorder="1" applyAlignment="1">
      <alignment horizontal="center" vertical="center" wrapText="1"/>
    </xf>
    <xf numFmtId="164" fontId="14" fillId="34" borderId="12" xfId="0" applyNumberFormat="1" applyFont="1" applyFill="1" applyBorder="1" applyAlignment="1">
      <alignment horizontal="right"/>
    </xf>
    <xf numFmtId="0" fontId="12" fillId="34" borderId="12" xfId="0" applyFont="1" applyFill="1" applyBorder="1" applyAlignment="1">
      <alignment horizontal="center" vertical="center"/>
    </xf>
    <xf numFmtId="2" fontId="120" fillId="34" borderId="12" xfId="0" applyNumberFormat="1" applyFont="1" applyFill="1" applyBorder="1" applyAlignment="1">
      <alignment horizontal="center" vertical="center" wrapText="1"/>
    </xf>
    <xf numFmtId="0" fontId="170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top"/>
    </xf>
    <xf numFmtId="164" fontId="14" fillId="0" borderId="12" xfId="0" applyNumberFormat="1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left" vertical="top" wrapText="1"/>
    </xf>
    <xf numFmtId="4" fontId="38" fillId="0" borderId="12" xfId="0" applyNumberFormat="1" applyFont="1" applyFill="1" applyBorder="1" applyAlignment="1">
      <alignment horizontal="center" vertical="center" wrapText="1"/>
    </xf>
    <xf numFmtId="3" fontId="38" fillId="0" borderId="12" xfId="0" applyNumberFormat="1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right" vertical="center" wrapText="1"/>
    </xf>
    <xf numFmtId="2" fontId="16" fillId="34" borderId="0" xfId="0" applyNumberFormat="1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164" fontId="120" fillId="0" borderId="12" xfId="0" applyNumberFormat="1" applyFont="1" applyFill="1" applyBorder="1" applyAlignment="1">
      <alignment horizontal="center" vertical="center"/>
    </xf>
    <xf numFmtId="164" fontId="173" fillId="0" borderId="12" xfId="0" applyNumberFormat="1" applyFont="1" applyFill="1" applyBorder="1" applyAlignment="1">
      <alignment horizontal="center" vertical="center"/>
    </xf>
    <xf numFmtId="1" fontId="17" fillId="0" borderId="0" xfId="0" applyNumberFormat="1" applyFont="1" applyBorder="1" applyAlignment="1">
      <alignment horizontal="left" wrapText="1"/>
    </xf>
    <xf numFmtId="0" fontId="12" fillId="34" borderId="12" xfId="0" applyFont="1" applyFill="1" applyBorder="1" applyAlignment="1">
      <alignment horizontal="left" vertical="center"/>
    </xf>
    <xf numFmtId="2" fontId="14" fillId="34" borderId="12" xfId="0" applyNumberFormat="1" applyFont="1" applyFill="1" applyBorder="1" applyAlignment="1">
      <alignment horizontal="center" vertical="center" wrapText="1"/>
    </xf>
    <xf numFmtId="1" fontId="47" fillId="0" borderId="12" xfId="0" applyNumberFormat="1" applyFont="1" applyFill="1" applyBorder="1" applyAlignment="1">
      <alignment horizontal="center" vertical="center"/>
    </xf>
    <xf numFmtId="172" fontId="112" fillId="0" borderId="12" xfId="0" applyNumberFormat="1" applyFont="1" applyFill="1" applyBorder="1" applyAlignment="1">
      <alignment horizontal="center" vertical="center" wrapText="1"/>
    </xf>
    <xf numFmtId="2" fontId="112" fillId="0" borderId="12" xfId="0" applyNumberFormat="1" applyFont="1" applyFill="1" applyBorder="1" applyAlignment="1">
      <alignment horizontal="center" vertical="center" wrapText="1"/>
    </xf>
    <xf numFmtId="2" fontId="112" fillId="0" borderId="12" xfId="0" applyNumberFormat="1" applyFont="1" applyFill="1" applyBorder="1" applyAlignment="1">
      <alignment horizontal="center" vertical="center"/>
    </xf>
    <xf numFmtId="2" fontId="12" fillId="0" borderId="12" xfId="0" applyNumberFormat="1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right" vertical="center"/>
    </xf>
    <xf numFmtId="1" fontId="14" fillId="34" borderId="12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left"/>
    </xf>
    <xf numFmtId="0" fontId="14" fillId="0" borderId="12" xfId="0" applyFont="1" applyFill="1" applyBorder="1" applyAlignment="1">
      <alignment horizontal="left" vertical="top" wrapText="1"/>
    </xf>
    <xf numFmtId="0" fontId="27" fillId="0" borderId="0" xfId="0" applyFont="1" applyAlignment="1"/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wrapText="1"/>
    </xf>
    <xf numFmtId="0" fontId="14" fillId="0" borderId="2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14" fillId="0" borderId="6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center" vertical="center" wrapText="1"/>
    </xf>
    <xf numFmtId="0" fontId="27" fillId="0" borderId="58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14" fillId="0" borderId="57" xfId="0" applyFont="1" applyBorder="1" applyAlignment="1">
      <alignment wrapText="1"/>
    </xf>
    <xf numFmtId="0" fontId="14" fillId="0" borderId="57" xfId="0" applyFont="1" applyBorder="1" applyAlignment="1">
      <alignment horizontal="right" wrapText="1"/>
    </xf>
    <xf numFmtId="0" fontId="14" fillId="0" borderId="0" xfId="0" applyFont="1" applyBorder="1" applyAlignment="1">
      <alignment horizontal="left" wrapText="1"/>
    </xf>
    <xf numFmtId="0" fontId="14" fillId="0" borderId="69" xfId="0" applyFont="1" applyFill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14" fillId="0" borderId="61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4" fillId="0" borderId="2" xfId="0" quotePrefix="1" applyFont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center" wrapText="1"/>
    </xf>
    <xf numFmtId="0" fontId="13" fillId="34" borderId="0" xfId="0" applyFont="1" applyFill="1" applyBorder="1" applyAlignment="1">
      <alignment horizontal="center" wrapText="1"/>
    </xf>
    <xf numFmtId="2" fontId="13" fillId="34" borderId="0" xfId="0" applyNumberFormat="1" applyFont="1" applyFill="1" applyBorder="1" applyAlignment="1">
      <alignment horizontal="center" wrapText="1"/>
    </xf>
    <xf numFmtId="0" fontId="38" fillId="34" borderId="0" xfId="0" applyFont="1" applyFill="1" applyBorder="1" applyAlignment="1">
      <alignment horizontal="center" wrapText="1"/>
    </xf>
    <xf numFmtId="0" fontId="24" fillId="0" borderId="0" xfId="0" applyFont="1" applyAlignment="1">
      <alignment horizontal="right" vertical="top"/>
    </xf>
    <xf numFmtId="0" fontId="24" fillId="0" borderId="0" xfId="0" applyFont="1" applyBorder="1" applyAlignment="1">
      <alignment horizontal="left" vertical="center" wrapText="1"/>
    </xf>
    <xf numFmtId="2" fontId="13" fillId="0" borderId="0" xfId="0" applyNumberFormat="1" applyFont="1" applyBorder="1" applyAlignment="1">
      <alignment horizontal="center" wrapText="1"/>
    </xf>
    <xf numFmtId="2" fontId="38" fillId="0" borderId="0" xfId="0" applyNumberFormat="1" applyFont="1" applyBorder="1" applyAlignment="1">
      <alignment horizontal="center" wrapText="1"/>
    </xf>
    <xf numFmtId="0" fontId="24" fillId="34" borderId="0" xfId="0" applyFont="1" applyFill="1" applyAlignment="1">
      <alignment horizontal="right" vertical="top"/>
    </xf>
    <xf numFmtId="0" fontId="24" fillId="34" borderId="0" xfId="0" applyFont="1" applyFill="1" applyBorder="1" applyAlignment="1">
      <alignment horizontal="left" vertical="center" wrapText="1"/>
    </xf>
    <xf numFmtId="2" fontId="38" fillId="0" borderId="0" xfId="0" applyNumberFormat="1" applyFont="1" applyFill="1" applyBorder="1" applyAlignment="1">
      <alignment horizontal="center" wrapText="1"/>
    </xf>
    <xf numFmtId="0" fontId="39" fillId="34" borderId="0" xfId="0" applyFont="1" applyFill="1" applyBorder="1" applyAlignment="1">
      <alignment wrapText="1"/>
    </xf>
    <xf numFmtId="0" fontId="38" fillId="34" borderId="0" xfId="0" applyFont="1" applyFill="1" applyBorder="1" applyAlignment="1">
      <alignment wrapText="1"/>
    </xf>
    <xf numFmtId="0" fontId="38" fillId="0" borderId="0" xfId="0" applyFont="1" applyBorder="1" applyAlignment="1">
      <alignment horizontal="center" wrapText="1"/>
    </xf>
    <xf numFmtId="2" fontId="13" fillId="34" borderId="0" xfId="0" applyNumberFormat="1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center" wrapText="1"/>
    </xf>
    <xf numFmtId="2" fontId="13" fillId="0" borderId="0" xfId="0" applyNumberFormat="1" applyFont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wrapText="1"/>
    </xf>
    <xf numFmtId="2" fontId="39" fillId="0" borderId="0" xfId="0" applyNumberFormat="1" applyFont="1" applyBorder="1" applyAlignment="1">
      <alignment horizontal="center" wrapText="1"/>
    </xf>
    <xf numFmtId="2" fontId="34" fillId="0" borderId="0" xfId="0" applyNumberFormat="1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3" fillId="34" borderId="0" xfId="0" applyFont="1" applyFill="1"/>
    <xf numFmtId="0" fontId="14" fillId="34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2" fontId="38" fillId="0" borderId="0" xfId="0" quotePrefix="1" applyNumberFormat="1" applyFont="1" applyBorder="1" applyAlignment="1">
      <alignment horizontal="center" wrapText="1"/>
    </xf>
    <xf numFmtId="2" fontId="13" fillId="34" borderId="0" xfId="0" applyNumberFormat="1" applyFont="1" applyFill="1" applyBorder="1" applyAlignment="1">
      <alignment horizontal="center"/>
    </xf>
    <xf numFmtId="0" fontId="38" fillId="34" borderId="0" xfId="0" applyFont="1" applyFill="1" applyAlignment="1">
      <alignment horizontal="center" wrapText="1"/>
    </xf>
    <xf numFmtId="2" fontId="38" fillId="34" borderId="0" xfId="0" quotePrefix="1" applyNumberFormat="1" applyFont="1" applyFill="1" applyBorder="1" applyAlignment="1">
      <alignment horizontal="center" wrapText="1"/>
    </xf>
    <xf numFmtId="2" fontId="13" fillId="0" borderId="0" xfId="0" quotePrefix="1" applyNumberFormat="1" applyFont="1" applyBorder="1" applyAlignment="1">
      <alignment horizontal="center" wrapText="1"/>
    </xf>
    <xf numFmtId="0" fontId="38" fillId="34" borderId="0" xfId="0" applyFont="1" applyFill="1"/>
    <xf numFmtId="0" fontId="22" fillId="0" borderId="0" xfId="0" applyFont="1" applyAlignment="1">
      <alignment horizontal="right" vertical="top"/>
    </xf>
    <xf numFmtId="0" fontId="23" fillId="0" borderId="0" xfId="0" applyFont="1" applyBorder="1" applyAlignment="1">
      <alignment horizontal="left" vertical="top" wrapText="1"/>
    </xf>
    <xf numFmtId="0" fontId="34" fillId="0" borderId="0" xfId="0" applyFont="1" applyBorder="1" applyAlignment="1">
      <alignment horizontal="left" vertical="top" wrapText="1"/>
    </xf>
    <xf numFmtId="0" fontId="13" fillId="0" borderId="0" xfId="0" applyFont="1" applyAlignment="1">
      <alignment horizontal="right"/>
    </xf>
    <xf numFmtId="0" fontId="22" fillId="34" borderId="0" xfId="0" applyFont="1" applyFill="1" applyAlignment="1">
      <alignment horizontal="right" vertical="top"/>
    </xf>
    <xf numFmtId="0" fontId="22" fillId="34" borderId="0" xfId="0" applyFont="1" applyFill="1" applyBorder="1" applyAlignment="1">
      <alignment horizontal="left" vertical="center" wrapText="1"/>
    </xf>
    <xf numFmtId="2" fontId="13" fillId="34" borderId="0" xfId="0" quotePrefix="1" applyNumberFormat="1" applyFont="1" applyFill="1" applyBorder="1" applyAlignment="1">
      <alignment horizontal="center" wrapText="1"/>
    </xf>
    <xf numFmtId="0" fontId="13" fillId="34" borderId="0" xfId="0" quotePrefix="1" applyFont="1" applyFill="1" applyBorder="1" applyAlignment="1">
      <alignment horizontal="center" wrapText="1"/>
    </xf>
    <xf numFmtId="2" fontId="13" fillId="0" borderId="0" xfId="0" applyNumberFormat="1" applyFont="1" applyBorder="1" applyAlignment="1">
      <alignment horizontal="center" vertical="center"/>
    </xf>
    <xf numFmtId="0" fontId="14" fillId="0" borderId="12" xfId="0" applyFont="1" applyFill="1" applyBorder="1" applyAlignment="1">
      <alignment horizontal="left" vertical="center" wrapText="1"/>
    </xf>
    <xf numFmtId="2" fontId="13" fillId="0" borderId="12" xfId="0" applyNumberFormat="1" applyFont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2" fontId="38" fillId="0" borderId="12" xfId="0" applyNumberFormat="1" applyFont="1" applyFill="1" applyBorder="1" applyAlignment="1">
      <alignment horizontal="center" wrapText="1"/>
    </xf>
    <xf numFmtId="2" fontId="13" fillId="0" borderId="12" xfId="0" applyNumberFormat="1" applyFont="1" applyFill="1" applyBorder="1" applyAlignment="1">
      <alignment horizontal="center" vertical="center" wrapText="1"/>
    </xf>
    <xf numFmtId="2" fontId="38" fillId="0" borderId="12" xfId="0" quotePrefix="1" applyNumberFormat="1" applyFont="1" applyFill="1" applyBorder="1" applyAlignment="1">
      <alignment horizontal="center" vertical="center" wrapText="1"/>
    </xf>
    <xf numFmtId="2" fontId="13" fillId="0" borderId="12" xfId="0" applyNumberFormat="1" applyFont="1" applyFill="1" applyBorder="1" applyAlignment="1">
      <alignment horizontal="center" vertical="center"/>
    </xf>
    <xf numFmtId="2" fontId="3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center"/>
    </xf>
    <xf numFmtId="0" fontId="38" fillId="34" borderId="0" xfId="0" applyNumberFormat="1" applyFont="1" applyFill="1" applyBorder="1" applyAlignment="1">
      <alignment horizontal="center" wrapText="1"/>
    </xf>
    <xf numFmtId="0" fontId="153" fillId="0" borderId="0" xfId="0" applyFont="1" applyBorder="1" applyAlignment="1">
      <alignment horizontal="center" vertical="top"/>
    </xf>
    <xf numFmtId="0" fontId="153" fillId="0" borderId="0" xfId="0" applyFont="1" applyBorder="1" applyAlignment="1">
      <alignment horizontal="left"/>
    </xf>
    <xf numFmtId="0" fontId="152" fillId="0" borderId="0" xfId="0" applyFont="1"/>
    <xf numFmtId="0" fontId="152" fillId="0" borderId="17" xfId="0" applyFont="1" applyBorder="1"/>
    <xf numFmtId="0" fontId="152" fillId="0" borderId="0" xfId="0" applyFont="1" applyBorder="1" applyAlignment="1">
      <alignment horizontal="left" wrapText="1"/>
    </xf>
    <xf numFmtId="0" fontId="152" fillId="0" borderId="0" xfId="0" applyFont="1" applyBorder="1" applyAlignment="1">
      <alignment horizontal="left" vertical="top" wrapText="1"/>
    </xf>
    <xf numFmtId="0" fontId="154" fillId="0" borderId="0" xfId="0" applyFont="1" applyFill="1" applyBorder="1" applyAlignment="1">
      <alignment horizontal="center"/>
    </xf>
    <xf numFmtId="0" fontId="159" fillId="2" borderId="12" xfId="0" applyFont="1" applyFill="1" applyBorder="1" applyAlignment="1">
      <alignment horizontal="left" vertical="top"/>
    </xf>
    <xf numFmtId="0" fontId="158" fillId="0" borderId="0" xfId="0" applyFont="1" applyFill="1" applyBorder="1" applyAlignment="1">
      <alignment horizontal="center"/>
    </xf>
    <xf numFmtId="0" fontId="153" fillId="0" borderId="0" xfId="0" applyFont="1" applyFill="1" applyAlignment="1">
      <alignment horizontal="left"/>
    </xf>
    <xf numFmtId="0" fontId="137" fillId="0" borderId="0" xfId="0" applyFont="1" applyFill="1" applyBorder="1" applyAlignment="1">
      <alignment horizontal="right" vertical="center"/>
    </xf>
    <xf numFmtId="0" fontId="159" fillId="2" borderId="0" xfId="0" applyFont="1" applyFill="1" applyBorder="1" applyAlignment="1">
      <alignment horizontal="left" vertical="center" wrapText="1"/>
    </xf>
    <xf numFmtId="49" fontId="161" fillId="0" borderId="16" xfId="0" applyNumberFormat="1" applyFont="1" applyFill="1" applyBorder="1" applyAlignment="1">
      <alignment horizontal="center"/>
    </xf>
    <xf numFmtId="49" fontId="161" fillId="0" borderId="0" xfId="0" applyNumberFormat="1" applyFont="1" applyFill="1" applyBorder="1" applyAlignment="1">
      <alignment horizontal="center"/>
    </xf>
    <xf numFmtId="49" fontId="161" fillId="0" borderId="17" xfId="0" applyNumberFormat="1" applyFont="1" applyFill="1" applyBorder="1" applyAlignment="1">
      <alignment horizontal="center"/>
    </xf>
    <xf numFmtId="0" fontId="152" fillId="0" borderId="0" xfId="0" applyFont="1" applyAlignment="1">
      <alignment horizontal="left"/>
    </xf>
    <xf numFmtId="0" fontId="152" fillId="0" borderId="17" xfId="0" applyFont="1" applyBorder="1" applyAlignment="1">
      <alignment horizontal="left"/>
    </xf>
    <xf numFmtId="0" fontId="159" fillId="0" borderId="0" xfId="0" applyFont="1" applyBorder="1" applyAlignment="1">
      <alignment horizontal="left" wrapText="1"/>
    </xf>
    <xf numFmtId="0" fontId="161" fillId="2" borderId="16" xfId="0" applyFont="1" applyFill="1" applyBorder="1" applyAlignment="1">
      <alignment horizontal="center"/>
    </xf>
    <xf numFmtId="0" fontId="161" fillId="2" borderId="0" xfId="0" applyFont="1" applyFill="1" applyBorder="1" applyAlignment="1">
      <alignment horizontal="center"/>
    </xf>
    <xf numFmtId="0" fontId="161" fillId="2" borderId="17" xfId="0" applyFont="1" applyFill="1" applyBorder="1" applyAlignment="1">
      <alignment horizontal="center"/>
    </xf>
    <xf numFmtId="173" fontId="161" fillId="0" borderId="16" xfId="0" applyNumberFormat="1" applyFont="1" applyFill="1" applyBorder="1" applyAlignment="1">
      <alignment horizontal="center"/>
    </xf>
    <xf numFmtId="173" fontId="161" fillId="0" borderId="0" xfId="0" applyNumberFormat="1" applyFont="1" applyFill="1" applyBorder="1" applyAlignment="1">
      <alignment horizontal="center"/>
    </xf>
    <xf numFmtId="173" fontId="161" fillId="0" borderId="17" xfId="0" applyNumberFormat="1" applyFont="1" applyFill="1" applyBorder="1" applyAlignment="1">
      <alignment horizontal="center"/>
    </xf>
    <xf numFmtId="0" fontId="138" fillId="0" borderId="0" xfId="0" applyFont="1" applyFill="1" applyBorder="1" applyAlignment="1">
      <alignment horizontal="left" vertical="center"/>
    </xf>
    <xf numFmtId="0" fontId="137" fillId="0" borderId="0" xfId="0" applyFont="1" applyFill="1" applyBorder="1" applyAlignment="1">
      <alignment horizontal="center"/>
    </xf>
    <xf numFmtId="0" fontId="161" fillId="0" borderId="16" xfId="0" applyFont="1" applyFill="1" applyBorder="1" applyAlignment="1">
      <alignment horizontal="center"/>
    </xf>
    <xf numFmtId="0" fontId="161" fillId="0" borderId="0" xfId="0" applyFont="1" applyFill="1" applyBorder="1" applyAlignment="1">
      <alignment horizontal="center"/>
    </xf>
    <xf numFmtId="0" fontId="161" fillId="0" borderId="17" xfId="0" applyFont="1" applyFill="1" applyBorder="1" applyAlignment="1">
      <alignment horizontal="center"/>
    </xf>
    <xf numFmtId="0" fontId="153" fillId="0" borderId="13" xfId="0" applyFont="1" applyBorder="1" applyAlignment="1">
      <alignment horizontal="center" vertical="top" wrapText="1"/>
    </xf>
    <xf numFmtId="0" fontId="153" fillId="0" borderId="14" xfId="0" applyFont="1" applyBorder="1" applyAlignment="1">
      <alignment horizontal="center" vertical="top" wrapText="1"/>
    </xf>
    <xf numFmtId="0" fontId="153" fillId="0" borderId="15" xfId="0" applyFont="1" applyBorder="1" applyAlignment="1">
      <alignment horizontal="center" vertical="top" wrapText="1"/>
    </xf>
    <xf numFmtId="0" fontId="153" fillId="0" borderId="16" xfId="0" applyFont="1" applyBorder="1" applyAlignment="1">
      <alignment horizontal="center" vertical="top" wrapText="1"/>
    </xf>
    <xf numFmtId="0" fontId="153" fillId="0" borderId="0" xfId="0" applyFont="1" applyBorder="1" applyAlignment="1">
      <alignment horizontal="center" vertical="top" wrapText="1"/>
    </xf>
    <xf numFmtId="0" fontId="153" fillId="0" borderId="17" xfId="0" applyFont="1" applyBorder="1" applyAlignment="1">
      <alignment horizontal="center" vertical="top" wrapText="1"/>
    </xf>
    <xf numFmtId="0" fontId="159" fillId="0" borderId="0" xfId="0" applyFont="1" applyFill="1" applyBorder="1" applyAlignment="1">
      <alignment horizontal="left" vertical="center" wrapText="1"/>
    </xf>
    <xf numFmtId="0" fontId="3" fillId="0" borderId="0" xfId="173" applyAlignment="1" applyProtection="1">
      <alignment horizontal="left"/>
    </xf>
    <xf numFmtId="0" fontId="32" fillId="0" borderId="0" xfId="0" applyFont="1" applyAlignment="1">
      <alignment horizontal="left"/>
    </xf>
    <xf numFmtId="0" fontId="159" fillId="0" borderId="0" xfId="0" applyFont="1" applyBorder="1" applyAlignment="1">
      <alignment horizontal="left" vertical="center" wrapText="1"/>
    </xf>
    <xf numFmtId="0" fontId="29" fillId="0" borderId="6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83" fillId="0" borderId="0" xfId="0" applyFont="1" applyFill="1" applyAlignment="1">
      <alignment horizontal="left" wrapText="1"/>
    </xf>
    <xf numFmtId="0" fontId="83" fillId="0" borderId="0" xfId="0" applyFont="1" applyBorder="1" applyAlignment="1">
      <alignment horizontal="left" wrapText="1"/>
    </xf>
    <xf numFmtId="0" fontId="83" fillId="0" borderId="0" xfId="0" applyFont="1" applyBorder="1" applyAlignment="1">
      <alignment horizontal="left"/>
    </xf>
    <xf numFmtId="49" fontId="83" fillId="0" borderId="0" xfId="0" applyNumberFormat="1" applyFont="1" applyBorder="1" applyAlignment="1">
      <alignment horizontal="left" wrapText="1"/>
    </xf>
    <xf numFmtId="0" fontId="29" fillId="0" borderId="62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61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left" vertical="center"/>
    </xf>
    <xf numFmtId="0" fontId="7" fillId="0" borderId="59" xfId="0" applyFont="1" applyFill="1" applyBorder="1" applyAlignment="1">
      <alignment horizontal="left" vertical="center"/>
    </xf>
    <xf numFmtId="0" fontId="7" fillId="0" borderId="58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0" fontId="7" fillId="0" borderId="61" xfId="0" applyFont="1" applyFill="1" applyBorder="1" applyAlignment="1">
      <alignment horizontal="right" vertical="center"/>
    </xf>
    <xf numFmtId="0" fontId="7" fillId="0" borderId="58" xfId="0" applyFont="1" applyFill="1" applyBorder="1" applyAlignment="1">
      <alignment horizontal="right" vertical="center"/>
    </xf>
    <xf numFmtId="0" fontId="7" fillId="0" borderId="63" xfId="0" applyFont="1" applyFill="1" applyBorder="1" applyAlignment="1">
      <alignment horizontal="right" vertical="center"/>
    </xf>
    <xf numFmtId="0" fontId="20" fillId="0" borderId="0" xfId="0" applyFont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20" fillId="0" borderId="0" xfId="0" applyFont="1" applyAlignment="1">
      <alignment horizontal="left" wrapText="1"/>
    </xf>
    <xf numFmtId="0" fontId="20" fillId="0" borderId="0" xfId="0" applyNumberFormat="1" applyFont="1" applyBorder="1" applyAlignment="1">
      <alignment horizontal="right" wrapText="1"/>
    </xf>
    <xf numFmtId="0" fontId="29" fillId="0" borderId="0" xfId="0" applyFont="1" applyAlignment="1">
      <alignment horizontal="left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34" fillId="0" borderId="61" xfId="0" applyFont="1" applyFill="1" applyBorder="1" applyAlignment="1">
      <alignment horizontal="center" vertical="center" wrapText="1"/>
    </xf>
    <xf numFmtId="0" fontId="34" fillId="0" borderId="58" xfId="0" applyFont="1" applyFill="1" applyBorder="1" applyAlignment="1">
      <alignment horizontal="center" vertical="center" wrapText="1"/>
    </xf>
    <xf numFmtId="0" fontId="34" fillId="0" borderId="59" xfId="0" applyFont="1" applyFill="1" applyBorder="1" applyAlignment="1">
      <alignment horizontal="center" vertical="center" wrapText="1"/>
    </xf>
    <xf numFmtId="0" fontId="38" fillId="0" borderId="6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62" xfId="0" applyFont="1" applyFill="1" applyBorder="1" applyAlignment="1">
      <alignment horizontal="center" vertical="center" wrapText="1"/>
    </xf>
    <xf numFmtId="0" fontId="14" fillId="0" borderId="6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29" fillId="0" borderId="0" xfId="0" applyFont="1" applyBorder="1" applyAlignment="1">
      <alignment horizontal="right" wrapText="1"/>
    </xf>
    <xf numFmtId="0" fontId="29" fillId="0" borderId="0" xfId="0" applyFont="1" applyAlignment="1">
      <alignment horizontal="right" wrapText="1"/>
    </xf>
    <xf numFmtId="0" fontId="27" fillId="0" borderId="0" xfId="0" applyFont="1" applyAlignment="1">
      <alignment horizontal="right" wrapText="1"/>
    </xf>
    <xf numFmtId="0" fontId="20" fillId="0" borderId="0" xfId="0" applyFont="1" applyAlignment="1">
      <alignment horizontal="right" wrapText="1"/>
    </xf>
    <xf numFmtId="0" fontId="6" fillId="0" borderId="62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right"/>
    </xf>
    <xf numFmtId="0" fontId="29" fillId="0" borderId="57" xfId="0" applyFont="1" applyBorder="1" applyAlignment="1">
      <alignment horizontal="right" wrapText="1"/>
    </xf>
    <xf numFmtId="0" fontId="20" fillId="0" borderId="0" xfId="0" applyFont="1" applyBorder="1" applyAlignment="1">
      <alignment horizontal="right" wrapText="1"/>
    </xf>
    <xf numFmtId="0" fontId="6" fillId="0" borderId="2" xfId="0" applyFont="1" applyBorder="1" applyAlignment="1">
      <alignment horizontal="center" vertical="center" wrapText="1"/>
    </xf>
    <xf numFmtId="0" fontId="29" fillId="0" borderId="26" xfId="0" applyFont="1" applyFill="1" applyBorder="1" applyAlignment="1">
      <alignment horizontal="center" vertical="center" wrapText="1"/>
    </xf>
    <xf numFmtId="0" fontId="0" fillId="0" borderId="26" xfId="0" applyFill="1" applyBorder="1"/>
    <xf numFmtId="0" fontId="0" fillId="0" borderId="3" xfId="0" applyFill="1" applyBorder="1"/>
    <xf numFmtId="0" fontId="20" fillId="0" borderId="0" xfId="0" applyFont="1" applyAlignment="1">
      <alignment horizontal="left"/>
    </xf>
    <xf numFmtId="0" fontId="29" fillId="0" borderId="62" xfId="0" applyNumberFormat="1" applyFont="1" applyFill="1" applyBorder="1" applyAlignment="1">
      <alignment horizontal="center" vertical="center" wrapText="1"/>
    </xf>
    <xf numFmtId="0" fontId="29" fillId="0" borderId="3" xfId="0" applyNumberFormat="1" applyFont="1" applyFill="1" applyBorder="1" applyAlignment="1">
      <alignment horizontal="center" vertical="center" wrapText="1"/>
    </xf>
    <xf numFmtId="0" fontId="29" fillId="0" borderId="68" xfId="0" applyFont="1" applyFill="1" applyBorder="1" applyAlignment="1">
      <alignment horizontal="center" vertical="center" wrapText="1"/>
    </xf>
    <xf numFmtId="0" fontId="6" fillId="0" borderId="59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83" fillId="0" borderId="0" xfId="0" applyFont="1" applyFill="1" applyBorder="1" applyAlignment="1">
      <alignment horizontal="left" wrapText="1"/>
    </xf>
    <xf numFmtId="0" fontId="83" fillId="0" borderId="0" xfId="0" applyFont="1" applyAlignment="1">
      <alignment horizontal="left"/>
    </xf>
    <xf numFmtId="0" fontId="83" fillId="0" borderId="0" xfId="0" applyFont="1" applyBorder="1" applyAlignment="1">
      <alignment horizontal="left" vertical="justify" wrapText="1"/>
    </xf>
    <xf numFmtId="0" fontId="83" fillId="0" borderId="0" xfId="0" applyFont="1" applyAlignment="1">
      <alignment horizontal="left" wrapText="1"/>
    </xf>
    <xf numFmtId="0" fontId="33" fillId="0" borderId="0" xfId="0" applyFont="1" applyBorder="1" applyAlignment="1">
      <alignment horizontal="left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20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 wrapText="1"/>
    </xf>
    <xf numFmtId="0" fontId="27" fillId="0" borderId="5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139" fillId="0" borderId="0" xfId="0" applyFont="1" applyAlignment="1">
      <alignment horizontal="left" wrapText="1"/>
    </xf>
    <xf numFmtId="0" fontId="20" fillId="0" borderId="0" xfId="0" applyFont="1" applyBorder="1" applyAlignment="1">
      <alignment horizontal="center"/>
    </xf>
    <xf numFmtId="0" fontId="33" fillId="0" borderId="0" xfId="0" applyFont="1" applyBorder="1" applyAlignment="1">
      <alignment horizontal="left" wrapText="1"/>
    </xf>
    <xf numFmtId="0" fontId="13" fillId="0" borderId="2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vertical="top" wrapText="1"/>
    </xf>
    <xf numFmtId="0" fontId="27" fillId="0" borderId="1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29" fillId="0" borderId="30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justify" wrapText="1"/>
    </xf>
    <xf numFmtId="0" fontId="13" fillId="0" borderId="0" xfId="0" applyFont="1" applyAlignment="1">
      <alignment horizontal="left"/>
    </xf>
    <xf numFmtId="0" fontId="29" fillId="0" borderId="48" xfId="0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wrapText="1"/>
    </xf>
    <xf numFmtId="0" fontId="6" fillId="0" borderId="8" xfId="0" applyFont="1" applyBorder="1" applyAlignment="1">
      <alignment horizontal="center" vertical="center" wrapText="1"/>
    </xf>
    <xf numFmtId="0" fontId="27" fillId="0" borderId="30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 wrapText="1"/>
    </xf>
    <xf numFmtId="0" fontId="6" fillId="0" borderId="32" xfId="0" applyFont="1" applyFill="1" applyBorder="1"/>
    <xf numFmtId="0" fontId="6" fillId="0" borderId="4" xfId="0" applyFont="1" applyFill="1" applyBorder="1"/>
    <xf numFmtId="0" fontId="29" fillId="0" borderId="28" xfId="0" applyFont="1" applyFill="1" applyBorder="1" applyAlignment="1">
      <alignment horizontal="center" vertical="center" wrapText="1"/>
    </xf>
    <xf numFmtId="0" fontId="29" fillId="0" borderId="29" xfId="0" applyFont="1" applyFill="1" applyBorder="1" applyAlignment="1">
      <alignment horizontal="center" vertical="center" wrapText="1"/>
    </xf>
    <xf numFmtId="0" fontId="27" fillId="0" borderId="32" xfId="0" applyFont="1" applyFill="1" applyBorder="1" applyAlignment="1">
      <alignment horizontal="center" wrapText="1"/>
    </xf>
    <xf numFmtId="0" fontId="27" fillId="0" borderId="4" xfId="0" applyFont="1" applyFill="1" applyBorder="1" applyAlignment="1">
      <alignment horizontal="center" wrapText="1"/>
    </xf>
    <xf numFmtId="0" fontId="29" fillId="0" borderId="33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horizontal="center" vertical="center" wrapText="1"/>
    </xf>
    <xf numFmtId="0" fontId="29" fillId="0" borderId="35" xfId="0" applyFont="1" applyFill="1" applyBorder="1" applyAlignment="1">
      <alignment horizontal="center" vertical="center" wrapText="1"/>
    </xf>
    <xf numFmtId="0" fontId="29" fillId="0" borderId="36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wrapText="1"/>
    </xf>
    <xf numFmtId="0" fontId="29" fillId="0" borderId="27" xfId="0" applyFont="1" applyBorder="1" applyAlignment="1">
      <alignment horizontal="right" wrapText="1"/>
    </xf>
    <xf numFmtId="0" fontId="29" fillId="0" borderId="27" xfId="0" applyFont="1" applyBorder="1" applyAlignment="1"/>
    <xf numFmtId="0" fontId="20" fillId="0" borderId="0" xfId="0" applyFont="1" applyBorder="1" applyAlignment="1">
      <alignment horizontal="left"/>
    </xf>
    <xf numFmtId="0" fontId="20" fillId="0" borderId="0" xfId="0" applyFont="1" applyFill="1" applyAlignment="1">
      <alignment horizontal="right"/>
    </xf>
    <xf numFmtId="0" fontId="29" fillId="0" borderId="5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left"/>
    </xf>
    <xf numFmtId="0" fontId="29" fillId="0" borderId="0" xfId="0" applyFont="1" applyFill="1" applyAlignment="1">
      <alignment horizontal="right"/>
    </xf>
    <xf numFmtId="0" fontId="13" fillId="0" borderId="0" xfId="0" applyFont="1" applyFill="1" applyAlignment="1">
      <alignment horizontal="left"/>
    </xf>
    <xf numFmtId="0" fontId="29" fillId="0" borderId="22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29" fillId="0" borderId="0" xfId="0" applyFont="1" applyBorder="1" applyAlignment="1"/>
    <xf numFmtId="0" fontId="14" fillId="0" borderId="26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right"/>
    </xf>
    <xf numFmtId="0" fontId="29" fillId="0" borderId="1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29" fillId="0" borderId="23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right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right" vertical="center" wrapText="1"/>
    </xf>
    <xf numFmtId="0" fontId="30" fillId="0" borderId="0" xfId="0" applyFont="1" applyFill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right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left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/>
    </xf>
    <xf numFmtId="0" fontId="15" fillId="0" borderId="2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7" fillId="0" borderId="61" xfId="0" applyFont="1" applyFill="1" applyBorder="1" applyAlignment="1">
      <alignment horizontal="center" vertical="center" wrapText="1"/>
    </xf>
    <xf numFmtId="0" fontId="27" fillId="0" borderId="58" xfId="0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14" fillId="0" borderId="62" xfId="0" applyFont="1" applyFill="1" applyBorder="1" applyAlignment="1">
      <alignment horizontal="center" vertical="center" textRotation="90" wrapText="1"/>
    </xf>
    <xf numFmtId="0" fontId="14" fillId="0" borderId="26" xfId="0" applyFont="1" applyFill="1" applyBorder="1" applyAlignment="1">
      <alignment horizontal="center" vertical="center" textRotation="90" wrapText="1"/>
    </xf>
    <xf numFmtId="0" fontId="14" fillId="0" borderId="69" xfId="0" applyFont="1" applyFill="1" applyBorder="1" applyAlignment="1">
      <alignment horizontal="center" vertical="center" textRotation="90" wrapText="1"/>
    </xf>
    <xf numFmtId="0" fontId="177" fillId="0" borderId="57" xfId="0" applyFont="1" applyFill="1" applyBorder="1" applyAlignment="1">
      <alignment horizontal="center" wrapText="1"/>
    </xf>
    <xf numFmtId="0" fontId="0" fillId="0" borderId="57" xfId="0" applyBorder="1"/>
    <xf numFmtId="0" fontId="123" fillId="0" borderId="0" xfId="0" applyFont="1" applyFill="1" applyBorder="1" applyAlignment="1">
      <alignment horizontal="right" vertical="center"/>
    </xf>
    <xf numFmtId="0" fontId="123" fillId="0" borderId="0" xfId="0" applyFont="1" applyFill="1" applyBorder="1" applyAlignment="1">
      <alignment horizontal="center" vertical="center" wrapText="1"/>
    </xf>
    <xf numFmtId="49" fontId="112" fillId="0" borderId="62" xfId="0" applyNumberFormat="1" applyFont="1" applyFill="1" applyBorder="1" applyAlignment="1">
      <alignment horizontal="center" vertical="center" wrapText="1"/>
    </xf>
    <xf numFmtId="49" fontId="112" fillId="0" borderId="26" xfId="0" applyNumberFormat="1" applyFont="1" applyFill="1" applyBorder="1" applyAlignment="1">
      <alignment horizontal="center" vertical="center" wrapText="1"/>
    </xf>
    <xf numFmtId="49" fontId="112" fillId="0" borderId="69" xfId="0" applyNumberFormat="1" applyFont="1" applyFill="1" applyBorder="1" applyAlignment="1">
      <alignment horizontal="center" vertical="center" wrapText="1"/>
    </xf>
    <xf numFmtId="49" fontId="126" fillId="0" borderId="64" xfId="0" applyNumberFormat="1" applyFont="1" applyFill="1" applyBorder="1" applyAlignment="1">
      <alignment horizontal="center" vertical="center" wrapText="1"/>
    </xf>
    <xf numFmtId="49" fontId="126" fillId="0" borderId="65" xfId="0" applyNumberFormat="1" applyFont="1" applyFill="1" applyBorder="1" applyAlignment="1">
      <alignment horizontal="center" vertical="center" wrapText="1"/>
    </xf>
    <xf numFmtId="49" fontId="126" fillId="0" borderId="70" xfId="0" applyNumberFormat="1" applyFont="1" applyFill="1" applyBorder="1" applyAlignment="1">
      <alignment horizontal="center" vertical="center" wrapText="1"/>
    </xf>
    <xf numFmtId="49" fontId="126" fillId="0" borderId="68" xfId="0" applyNumberFormat="1" applyFont="1" applyFill="1" applyBorder="1" applyAlignment="1">
      <alignment horizontal="center" vertical="center" wrapText="1"/>
    </xf>
    <xf numFmtId="49" fontId="125" fillId="0" borderId="61" xfId="0" applyNumberFormat="1" applyFont="1" applyFill="1" applyBorder="1" applyAlignment="1">
      <alignment horizontal="center" vertical="center" wrapText="1"/>
    </xf>
    <xf numFmtId="49" fontId="125" fillId="0" borderId="58" xfId="0" applyNumberFormat="1" applyFont="1" applyFill="1" applyBorder="1" applyAlignment="1">
      <alignment horizontal="center" vertical="center" wrapText="1"/>
    </xf>
    <xf numFmtId="49" fontId="125" fillId="0" borderId="59" xfId="0" applyNumberFormat="1" applyFont="1" applyFill="1" applyBorder="1" applyAlignment="1">
      <alignment horizontal="center" vertical="center" wrapText="1"/>
    </xf>
    <xf numFmtId="49" fontId="141" fillId="0" borderId="62" xfId="0" applyNumberFormat="1" applyFont="1" applyFill="1" applyBorder="1" applyAlignment="1">
      <alignment horizontal="center" vertical="center" wrapText="1"/>
    </xf>
    <xf numFmtId="49" fontId="141" fillId="0" borderId="69" xfId="0" applyNumberFormat="1" applyFont="1" applyFill="1" applyBorder="1" applyAlignment="1">
      <alignment horizontal="center" vertical="center" wrapText="1"/>
    </xf>
    <xf numFmtId="1" fontId="126" fillId="0" borderId="61" xfId="0" applyNumberFormat="1" applyFont="1" applyFill="1" applyBorder="1" applyAlignment="1">
      <alignment horizontal="center" vertical="center" wrapText="1"/>
    </xf>
    <xf numFmtId="1" fontId="126" fillId="0" borderId="59" xfId="0" applyNumberFormat="1" applyFont="1" applyFill="1" applyBorder="1" applyAlignment="1">
      <alignment horizontal="center" vertical="center" wrapText="1"/>
    </xf>
    <xf numFmtId="0" fontId="126" fillId="0" borderId="64" xfId="0" applyFont="1" applyFill="1" applyBorder="1" applyAlignment="1">
      <alignment horizontal="center" vertical="center" wrapText="1"/>
    </xf>
    <xf numFmtId="0" fontId="0" fillId="0" borderId="65" xfId="0" applyBorder="1"/>
    <xf numFmtId="0" fontId="0" fillId="0" borderId="21" xfId="0" applyBorder="1"/>
    <xf numFmtId="0" fontId="0" fillId="0" borderId="23" xfId="0" applyBorder="1"/>
    <xf numFmtId="0" fontId="0" fillId="0" borderId="70" xfId="0" applyBorder="1"/>
    <xf numFmtId="0" fontId="0" fillId="0" borderId="68" xfId="0" applyBorder="1"/>
    <xf numFmtId="1" fontId="130" fillId="0" borderId="61" xfId="0" applyNumberFormat="1" applyFont="1" applyFill="1" applyBorder="1" applyAlignment="1">
      <alignment horizontal="center" vertical="center"/>
    </xf>
    <xf numFmtId="1" fontId="130" fillId="0" borderId="59" xfId="0" applyNumberFormat="1" applyFont="1" applyFill="1" applyBorder="1" applyAlignment="1">
      <alignment horizontal="center" vertical="center"/>
    </xf>
    <xf numFmtId="49" fontId="133" fillId="0" borderId="62" xfId="0" applyNumberFormat="1" applyFont="1" applyFill="1" applyBorder="1" applyAlignment="1">
      <alignment horizontal="center" vertical="center" wrapText="1"/>
    </xf>
    <xf numFmtId="49" fontId="133" fillId="0" borderId="69" xfId="0" applyNumberFormat="1" applyFont="1" applyFill="1" applyBorder="1" applyAlignment="1">
      <alignment horizontal="center" vertical="center" wrapText="1"/>
    </xf>
    <xf numFmtId="0" fontId="124" fillId="0" borderId="64" xfId="0" applyFont="1" applyFill="1" applyBorder="1" applyAlignment="1">
      <alignment horizontal="left" vertical="center"/>
    </xf>
    <xf numFmtId="0" fontId="0" fillId="0" borderId="63" xfId="0" applyBorder="1"/>
    <xf numFmtId="49" fontId="133" fillId="0" borderId="26" xfId="0" applyNumberFormat="1" applyFont="1" applyFill="1" applyBorder="1" applyAlignment="1">
      <alignment horizontal="center" vertical="center" wrapText="1"/>
    </xf>
    <xf numFmtId="0" fontId="124" fillId="0" borderId="61" xfId="0" applyFont="1" applyFill="1" applyBorder="1" applyAlignment="1">
      <alignment horizontal="center" vertical="center"/>
    </xf>
    <xf numFmtId="0" fontId="124" fillId="0" borderId="58" xfId="0" applyFont="1" applyFill="1" applyBorder="1" applyAlignment="1">
      <alignment horizontal="center" vertical="center"/>
    </xf>
    <xf numFmtId="0" fontId="124" fillId="0" borderId="59" xfId="0" applyFont="1" applyFill="1" applyBorder="1" applyAlignment="1">
      <alignment horizontal="center" vertical="center"/>
    </xf>
    <xf numFmtId="49" fontId="140" fillId="0" borderId="62" xfId="0" applyNumberFormat="1" applyFont="1" applyFill="1" applyBorder="1" applyAlignment="1">
      <alignment horizontal="center" vertical="center" wrapText="1"/>
    </xf>
    <xf numFmtId="49" fontId="140" fillId="0" borderId="69" xfId="0" applyNumberFormat="1" applyFont="1" applyFill="1" applyBorder="1" applyAlignment="1">
      <alignment horizontal="center" vertical="center" wrapText="1"/>
    </xf>
    <xf numFmtId="0" fontId="0" fillId="0" borderId="57" xfId="0" applyBorder="1" applyAlignment="1">
      <alignment horizontal="center"/>
    </xf>
    <xf numFmtId="49" fontId="112" fillId="0" borderId="64" xfId="0" applyNumberFormat="1" applyFont="1" applyFill="1" applyBorder="1" applyAlignment="1">
      <alignment horizontal="center" vertical="center" wrapText="1"/>
    </xf>
    <xf numFmtId="49" fontId="112" fillId="0" borderId="65" xfId="0" applyNumberFormat="1" applyFont="1" applyFill="1" applyBorder="1" applyAlignment="1">
      <alignment horizontal="center" vertical="center" wrapText="1"/>
    </xf>
    <xf numFmtId="49" fontId="112" fillId="0" borderId="70" xfId="0" applyNumberFormat="1" applyFont="1" applyFill="1" applyBorder="1" applyAlignment="1">
      <alignment horizontal="center" vertical="center" wrapText="1"/>
    </xf>
    <xf numFmtId="49" fontId="112" fillId="0" borderId="68" xfId="0" applyNumberFormat="1" applyFont="1" applyFill="1" applyBorder="1" applyAlignment="1">
      <alignment horizontal="center" vertical="center" wrapText="1"/>
    </xf>
    <xf numFmtId="0" fontId="124" fillId="0" borderId="64" xfId="0" applyFont="1" applyFill="1" applyBorder="1" applyAlignment="1">
      <alignment horizontal="center" vertical="center"/>
    </xf>
    <xf numFmtId="0" fontId="124" fillId="0" borderId="65" xfId="0" applyFont="1" applyFill="1" applyBorder="1" applyAlignment="1">
      <alignment horizontal="center" vertical="center"/>
    </xf>
    <xf numFmtId="0" fontId="124" fillId="0" borderId="21" xfId="0" applyFont="1" applyFill="1" applyBorder="1" applyAlignment="1">
      <alignment horizontal="center" vertical="center"/>
    </xf>
    <xf numFmtId="0" fontId="124" fillId="0" borderId="23" xfId="0" applyFont="1" applyFill="1" applyBorder="1" applyAlignment="1">
      <alignment horizontal="center" vertical="center"/>
    </xf>
    <xf numFmtId="0" fontId="124" fillId="0" borderId="70" xfId="0" applyFont="1" applyFill="1" applyBorder="1" applyAlignment="1">
      <alignment horizontal="center" vertical="center"/>
    </xf>
    <xf numFmtId="0" fontId="124" fillId="0" borderId="68" xfId="0" applyFont="1" applyFill="1" applyBorder="1" applyAlignment="1">
      <alignment horizontal="center" vertical="center"/>
    </xf>
    <xf numFmtId="49" fontId="122" fillId="0" borderId="64" xfId="0" applyNumberFormat="1" applyFont="1" applyFill="1" applyBorder="1" applyAlignment="1">
      <alignment horizontal="center" vertical="center" wrapText="1"/>
    </xf>
    <xf numFmtId="49" fontId="122" fillId="0" borderId="63" xfId="0" applyNumberFormat="1" applyFont="1" applyFill="1" applyBorder="1" applyAlignment="1">
      <alignment horizontal="center" vertical="center" wrapText="1"/>
    </xf>
    <xf numFmtId="49" fontId="122" fillId="0" borderId="65" xfId="0" applyNumberFormat="1" applyFont="1" applyFill="1" applyBorder="1" applyAlignment="1">
      <alignment horizontal="center" vertical="center" wrapText="1"/>
    </xf>
    <xf numFmtId="49" fontId="122" fillId="0" borderId="70" xfId="0" applyNumberFormat="1" applyFont="1" applyFill="1" applyBorder="1" applyAlignment="1">
      <alignment horizontal="center" vertical="center" wrapText="1"/>
    </xf>
    <xf numFmtId="49" fontId="122" fillId="0" borderId="57" xfId="0" applyNumberFormat="1" applyFont="1" applyFill="1" applyBorder="1" applyAlignment="1">
      <alignment horizontal="center" vertical="center" wrapText="1"/>
    </xf>
    <xf numFmtId="49" fontId="122" fillId="0" borderId="68" xfId="0" applyNumberFormat="1" applyFont="1" applyFill="1" applyBorder="1" applyAlignment="1">
      <alignment horizontal="center" vertical="center" wrapText="1"/>
    </xf>
    <xf numFmtId="0" fontId="124" fillId="0" borderId="63" xfId="0" applyFont="1" applyFill="1" applyBorder="1" applyAlignment="1">
      <alignment horizontal="center" vertical="center"/>
    </xf>
    <xf numFmtId="0" fontId="124" fillId="0" borderId="57" xfId="0" applyFont="1" applyFill="1" applyBorder="1" applyAlignment="1">
      <alignment horizontal="center" vertical="center"/>
    </xf>
    <xf numFmtId="0" fontId="0" fillId="0" borderId="69" xfId="0" applyBorder="1"/>
    <xf numFmtId="49" fontId="126" fillId="0" borderId="61" xfId="0" applyNumberFormat="1" applyFont="1" applyFill="1" applyBorder="1" applyAlignment="1">
      <alignment horizontal="center" vertical="center" wrapText="1"/>
    </xf>
    <xf numFmtId="49" fontId="126" fillId="0" borderId="59" xfId="0" applyNumberFormat="1" applyFont="1" applyFill="1" applyBorder="1" applyAlignment="1">
      <alignment horizontal="center" vertical="center" wrapText="1"/>
    </xf>
    <xf numFmtId="1" fontId="178" fillId="0" borderId="61" xfId="0" applyNumberFormat="1" applyFont="1" applyFill="1" applyBorder="1" applyAlignment="1">
      <alignment horizontal="center" vertical="center" wrapText="1"/>
    </xf>
    <xf numFmtId="0" fontId="0" fillId="0" borderId="59" xfId="0" applyBorder="1"/>
    <xf numFmtId="0" fontId="124" fillId="0" borderId="64" xfId="0" applyFont="1" applyFill="1" applyBorder="1" applyAlignment="1">
      <alignment horizontal="center" vertical="center" wrapText="1"/>
    </xf>
    <xf numFmtId="0" fontId="124" fillId="0" borderId="63" xfId="0" applyFont="1" applyFill="1" applyBorder="1" applyAlignment="1">
      <alignment horizontal="center" vertical="center" wrapText="1"/>
    </xf>
    <xf numFmtId="0" fontId="124" fillId="0" borderId="65" xfId="0" applyFont="1" applyFill="1" applyBorder="1" applyAlignment="1">
      <alignment horizontal="center" vertical="center" wrapText="1"/>
    </xf>
    <xf numFmtId="0" fontId="124" fillId="0" borderId="70" xfId="0" applyFont="1" applyFill="1" applyBorder="1" applyAlignment="1">
      <alignment horizontal="center" vertical="center" wrapText="1"/>
    </xf>
    <xf numFmtId="0" fontId="124" fillId="0" borderId="57" xfId="0" applyFont="1" applyFill="1" applyBorder="1" applyAlignment="1">
      <alignment horizontal="center" vertical="center" wrapText="1"/>
    </xf>
    <xf numFmtId="0" fontId="124" fillId="0" borderId="68" xfId="0" applyFont="1" applyFill="1" applyBorder="1" applyAlignment="1">
      <alignment horizontal="center" vertical="center" wrapText="1"/>
    </xf>
    <xf numFmtId="1" fontId="130" fillId="0" borderId="61" xfId="0" applyNumberFormat="1" applyFont="1" applyFill="1" applyBorder="1" applyAlignment="1">
      <alignment horizontal="center" vertical="center" wrapText="1"/>
    </xf>
    <xf numFmtId="0" fontId="133" fillId="0" borderId="63" xfId="0" applyFont="1" applyFill="1" applyBorder="1" applyAlignment="1"/>
    <xf numFmtId="49" fontId="126" fillId="0" borderId="21" xfId="0" applyNumberFormat="1" applyFont="1" applyFill="1" applyBorder="1" applyAlignment="1">
      <alignment horizontal="center" vertical="center" wrapText="1"/>
    </xf>
    <xf numFmtId="49" fontId="126" fillId="0" borderId="23" xfId="0" applyNumberFormat="1" applyFont="1" applyFill="1" applyBorder="1" applyAlignment="1">
      <alignment horizontal="center" vertical="center" wrapText="1"/>
    </xf>
    <xf numFmtId="0" fontId="124" fillId="0" borderId="61" xfId="0" applyFont="1" applyFill="1" applyBorder="1" applyAlignment="1">
      <alignment vertical="center"/>
    </xf>
    <xf numFmtId="0" fontId="0" fillId="0" borderId="58" xfId="0" applyBorder="1"/>
    <xf numFmtId="49" fontId="122" fillId="0" borderId="61" xfId="0" applyNumberFormat="1" applyFont="1" applyFill="1" applyBorder="1" applyAlignment="1">
      <alignment horizontal="left" vertical="center" wrapText="1"/>
    </xf>
    <xf numFmtId="49" fontId="125" fillId="0" borderId="64" xfId="0" applyNumberFormat="1" applyFont="1" applyFill="1" applyBorder="1" applyAlignment="1">
      <alignment horizontal="center" vertical="center" wrapText="1"/>
    </xf>
    <xf numFmtId="49" fontId="125" fillId="0" borderId="65" xfId="0" applyNumberFormat="1" applyFont="1" applyFill="1" applyBorder="1" applyAlignment="1">
      <alignment horizontal="center" vertical="center" wrapText="1"/>
    </xf>
    <xf numFmtId="49" fontId="125" fillId="0" borderId="70" xfId="0" applyNumberFormat="1" applyFont="1" applyFill="1" applyBorder="1" applyAlignment="1">
      <alignment horizontal="center" vertical="center" wrapText="1"/>
    </xf>
    <xf numFmtId="49" fontId="125" fillId="0" borderId="68" xfId="0" applyNumberFormat="1" applyFont="1" applyFill="1" applyBorder="1" applyAlignment="1">
      <alignment horizontal="center" vertical="center" wrapText="1"/>
    </xf>
    <xf numFmtId="0" fontId="22" fillId="35" borderId="58" xfId="0" applyFont="1" applyFill="1" applyBorder="1" applyAlignment="1">
      <alignment horizontal="left" vertical="center"/>
    </xf>
    <xf numFmtId="0" fontId="14" fillId="0" borderId="62" xfId="0" applyFont="1" applyFill="1" applyBorder="1" applyAlignment="1">
      <alignment horizontal="center" vertical="center" textRotation="90"/>
    </xf>
    <xf numFmtId="0" fontId="14" fillId="0" borderId="26" xfId="0" applyFont="1" applyFill="1" applyBorder="1" applyAlignment="1">
      <alignment horizontal="center" vertical="center" textRotation="90"/>
    </xf>
    <xf numFmtId="0" fontId="0" fillId="0" borderId="26" xfId="0" applyBorder="1"/>
    <xf numFmtId="0" fontId="14" fillId="0" borderId="3" xfId="0" applyFont="1" applyFill="1" applyBorder="1" applyAlignment="1">
      <alignment horizontal="center" vertical="center" textRotation="90"/>
    </xf>
    <xf numFmtId="0" fontId="0" fillId="0" borderId="3" xfId="0" applyBorder="1"/>
    <xf numFmtId="0" fontId="22" fillId="0" borderId="58" xfId="0" applyFont="1" applyFill="1" applyBorder="1" applyAlignment="1">
      <alignment horizontal="center" vertical="center"/>
    </xf>
    <xf numFmtId="0" fontId="22" fillId="0" borderId="58" xfId="0" applyFont="1" applyFill="1" applyBorder="1" applyAlignment="1">
      <alignment horizontal="left" vertical="center"/>
    </xf>
    <xf numFmtId="0" fontId="14" fillId="0" borderId="69" xfId="0" applyFont="1" applyFill="1" applyBorder="1" applyAlignment="1">
      <alignment horizontal="center" vertical="center" textRotation="90"/>
    </xf>
    <xf numFmtId="0" fontId="6" fillId="0" borderId="64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right" wrapText="1"/>
    </xf>
    <xf numFmtId="0" fontId="29" fillId="0" borderId="57" xfId="0" applyFont="1" applyFill="1" applyBorder="1" applyAlignment="1">
      <alignment horizontal="right" vertical="top" wrapText="1"/>
    </xf>
    <xf numFmtId="0" fontId="76" fillId="0" borderId="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 wrapText="1"/>
    </xf>
    <xf numFmtId="0" fontId="27" fillId="0" borderId="2" xfId="0" applyFont="1" applyFill="1" applyBorder="1" applyAlignment="1">
      <alignment horizontal="center" wrapText="1"/>
    </xf>
    <xf numFmtId="0" fontId="27" fillId="0" borderId="61" xfId="0" applyFont="1" applyFill="1" applyBorder="1" applyAlignment="1">
      <alignment horizontal="center" wrapText="1"/>
    </xf>
    <xf numFmtId="0" fontId="27" fillId="0" borderId="58" xfId="0" applyFont="1" applyFill="1" applyBorder="1" applyAlignment="1">
      <alignment horizontal="center" wrapText="1"/>
    </xf>
    <xf numFmtId="0" fontId="27" fillId="0" borderId="59" xfId="0" applyFont="1" applyFill="1" applyBorder="1" applyAlignment="1">
      <alignment horizontal="center" wrapText="1"/>
    </xf>
    <xf numFmtId="0" fontId="27" fillId="0" borderId="62" xfId="0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4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13" fillId="0" borderId="0" xfId="196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0" xfId="196" applyFont="1" applyAlignment="1">
      <alignment horizontal="center" wrapText="1"/>
    </xf>
    <xf numFmtId="0" fontId="29" fillId="0" borderId="1" xfId="196" applyFont="1" applyBorder="1" applyAlignment="1">
      <alignment horizontal="right"/>
    </xf>
    <xf numFmtId="0" fontId="6" fillId="0" borderId="8" xfId="196" applyFont="1" applyBorder="1" applyAlignment="1">
      <alignment horizontal="center" vertical="center" wrapText="1"/>
    </xf>
    <xf numFmtId="0" fontId="6" fillId="0" borderId="3" xfId="196" applyFont="1" applyBorder="1" applyAlignment="1">
      <alignment horizontal="center" vertical="center" wrapText="1"/>
    </xf>
    <xf numFmtId="0" fontId="46" fillId="0" borderId="5" xfId="196" applyFont="1" applyBorder="1" applyAlignment="1">
      <alignment horizontal="center"/>
    </xf>
    <xf numFmtId="0" fontId="46" fillId="0" borderId="11" xfId="196" applyFont="1" applyBorder="1" applyAlignment="1">
      <alignment horizontal="center"/>
    </xf>
    <xf numFmtId="0" fontId="46" fillId="0" borderId="6" xfId="196" applyFont="1" applyBorder="1" applyAlignment="1">
      <alignment horizontal="center"/>
    </xf>
    <xf numFmtId="1" fontId="17" fillId="0" borderId="0" xfId="0" applyNumberFormat="1" applyFont="1" applyBorder="1" applyAlignment="1">
      <alignment horizontal="left" wrapText="1"/>
    </xf>
    <xf numFmtId="0" fontId="30" fillId="0" borderId="0" xfId="0" applyFont="1" applyAlignment="1">
      <alignment horizontal="left"/>
    </xf>
    <xf numFmtId="0" fontId="28" fillId="0" borderId="58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right" vertical="top" wrapText="1"/>
    </xf>
    <xf numFmtId="0" fontId="15" fillId="0" borderId="64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/>
    </xf>
    <xf numFmtId="0" fontId="16" fillId="0" borderId="70" xfId="0" applyFont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 wrapText="1"/>
    </xf>
    <xf numFmtId="0" fontId="16" fillId="0" borderId="68" xfId="0" applyFont="1" applyBorder="1" applyAlignment="1">
      <alignment horizontal="center" vertical="center" wrapText="1"/>
    </xf>
    <xf numFmtId="0" fontId="30" fillId="0" borderId="0" xfId="0" applyFont="1" applyAlignment="1">
      <alignment horizontal="right"/>
    </xf>
    <xf numFmtId="0" fontId="15" fillId="0" borderId="62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40" fillId="0" borderId="6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wrapText="1"/>
    </xf>
    <xf numFmtId="0" fontId="12" fillId="0" borderId="59" xfId="0" applyFont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5" fillId="0" borderId="62" xfId="0" applyFont="1" applyFill="1" applyBorder="1" applyAlignment="1">
      <alignment horizontal="center" vertical="center" wrapText="1"/>
    </xf>
    <xf numFmtId="0" fontId="15" fillId="0" borderId="69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30" fillId="0" borderId="0" xfId="0" applyFont="1" applyBorder="1" applyAlignment="1">
      <alignment horizontal="right" wrapText="1"/>
    </xf>
    <xf numFmtId="0" fontId="30" fillId="0" borderId="0" xfId="0" applyFont="1" applyAlignment="1">
      <alignment horizontal="right" wrapText="1"/>
    </xf>
    <xf numFmtId="0" fontId="30" fillId="0" borderId="0" xfId="0" applyFont="1" applyAlignment="1">
      <alignment horizontal="left" wrapText="1"/>
    </xf>
    <xf numFmtId="0" fontId="8" fillId="0" borderId="8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wrapText="1"/>
    </xf>
    <xf numFmtId="0" fontId="0" fillId="0" borderId="69" xfId="0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 wrapText="1"/>
    </xf>
    <xf numFmtId="0" fontId="26" fillId="0" borderId="0" xfId="0" applyFont="1" applyFill="1" applyAlignment="1">
      <alignment horizontal="left" wrapText="1"/>
    </xf>
    <xf numFmtId="0" fontId="29" fillId="0" borderId="57" xfId="0" applyFont="1" applyFill="1" applyBorder="1" applyAlignment="1">
      <alignment horizontal="left"/>
    </xf>
    <xf numFmtId="0" fontId="6" fillId="0" borderId="62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right" wrapText="1"/>
    </xf>
    <xf numFmtId="0" fontId="16" fillId="0" borderId="1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40" fillId="0" borderId="24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5" fillId="0" borderId="34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wrapText="1"/>
    </xf>
    <xf numFmtId="0" fontId="12" fillId="0" borderId="2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left" wrapText="1"/>
    </xf>
    <xf numFmtId="0" fontId="27" fillId="0" borderId="2" xfId="0" applyFont="1" applyFill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center" wrapText="1"/>
    </xf>
    <xf numFmtId="0" fontId="14" fillId="0" borderId="0" xfId="0" applyFont="1" applyAlignment="1">
      <alignment horizontal="left"/>
    </xf>
    <xf numFmtId="0" fontId="29" fillId="0" borderId="1" xfId="0" applyFont="1" applyBorder="1" applyAlignment="1">
      <alignment horizontal="right"/>
    </xf>
    <xf numFmtId="0" fontId="40" fillId="0" borderId="0" xfId="0" applyFont="1" applyBorder="1" applyAlignment="1">
      <alignment horizontal="left"/>
    </xf>
    <xf numFmtId="0" fontId="40" fillId="0" borderId="0" xfId="0" applyFont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wrapText="1"/>
    </xf>
    <xf numFmtId="49" fontId="6" fillId="0" borderId="1" xfId="0" applyNumberFormat="1" applyFont="1" applyBorder="1" applyAlignment="1">
      <alignment horizontal="left" vertical="top" wrapText="1"/>
    </xf>
    <xf numFmtId="49" fontId="14" fillId="34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2" fillId="0" borderId="6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4" fillId="0" borderId="62" xfId="0" applyFont="1" applyBorder="1" applyAlignment="1">
      <alignment horizontal="center" vertical="center" wrapText="1"/>
    </xf>
    <xf numFmtId="0" fontId="14" fillId="0" borderId="62" xfId="0" applyFont="1" applyBorder="1" applyAlignment="1">
      <alignment vertical="center"/>
    </xf>
    <xf numFmtId="0" fontId="34" fillId="0" borderId="2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49" fontId="14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76" fillId="0" borderId="0" xfId="0" applyFont="1" applyAlignment="1">
      <alignment horizontal="left"/>
    </xf>
    <xf numFmtId="0" fontId="36" fillId="0" borderId="0" xfId="0" applyFont="1" applyBorder="1" applyAlignment="1">
      <alignment horizontal="left" vertical="top" wrapText="1"/>
    </xf>
    <xf numFmtId="0" fontId="36" fillId="0" borderId="0" xfId="0" applyFont="1" applyBorder="1" applyAlignment="1">
      <alignment horizontal="right" vertical="top" wrapText="1"/>
    </xf>
    <xf numFmtId="0" fontId="9" fillId="0" borderId="0" xfId="0" applyFont="1" applyBorder="1" applyAlignment="1">
      <alignment horizontal="right" vertical="top" wrapText="1"/>
    </xf>
    <xf numFmtId="0" fontId="9" fillId="0" borderId="61" xfId="0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right" vertical="top" wrapText="1"/>
    </xf>
    <xf numFmtId="0" fontId="8" fillId="0" borderId="2" xfId="0" applyFont="1" applyBorder="1" applyAlignment="1">
      <alignment horizontal="center" vertical="center" wrapText="1"/>
    </xf>
    <xf numFmtId="2" fontId="34" fillId="0" borderId="0" xfId="0" applyNumberFormat="1" applyFont="1" applyBorder="1" applyAlignment="1">
      <alignment horizontal="left"/>
    </xf>
    <xf numFmtId="0" fontId="16" fillId="0" borderId="6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28" fillId="34" borderId="0" xfId="0" applyFont="1" applyFill="1" applyBorder="1" applyAlignment="1">
      <alignment horizontal="left" vertical="center" wrapText="1"/>
    </xf>
    <xf numFmtId="0" fontId="16" fillId="0" borderId="6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75" fillId="0" borderId="1" xfId="0" applyFont="1" applyBorder="1" applyAlignment="1">
      <alignment horizontal="left"/>
    </xf>
    <xf numFmtId="0" fontId="75" fillId="0" borderId="1" xfId="0" applyFont="1" applyBorder="1" applyAlignment="1">
      <alignment horizontal="right"/>
    </xf>
    <xf numFmtId="0" fontId="79" fillId="0" borderId="57" xfId="0" applyFont="1" applyBorder="1" applyAlignment="1">
      <alignment horizontal="center" vertical="center" wrapText="1"/>
    </xf>
    <xf numFmtId="0" fontId="73" fillId="34" borderId="0" xfId="0" applyFont="1" applyFill="1" applyAlignment="1">
      <alignment horizontal="left" wrapText="1"/>
    </xf>
    <xf numFmtId="0" fontId="9" fillId="0" borderId="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73" fillId="0" borderId="0" xfId="0" applyFont="1" applyFill="1" applyBorder="1" applyAlignment="1">
      <alignment horizontal="left" vertical="center" wrapText="1" indent="2"/>
    </xf>
    <xf numFmtId="0" fontId="15" fillId="0" borderId="0" xfId="0" applyFont="1" applyFill="1" applyBorder="1" applyAlignment="1">
      <alignment vertical="center" wrapText="1"/>
    </xf>
    <xf numFmtId="0" fontId="78" fillId="34" borderId="0" xfId="0" applyFont="1" applyFill="1" applyBorder="1" applyAlignment="1">
      <alignment horizontal="left" vertical="justify" wrapText="1"/>
    </xf>
    <xf numFmtId="0" fontId="27" fillId="34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wrapText="1"/>
    </xf>
    <xf numFmtId="0" fontId="73" fillId="34" borderId="0" xfId="0" applyFont="1" applyFill="1" applyBorder="1" applyAlignment="1">
      <alignment horizontal="left" vertical="center" wrapText="1" indent="2"/>
    </xf>
    <xf numFmtId="49" fontId="26" fillId="0" borderId="0" xfId="0" applyNumberFormat="1" applyFont="1" applyFill="1" applyBorder="1" applyAlignment="1">
      <alignment horizontal="left" vertical="center" wrapText="1"/>
    </xf>
    <xf numFmtId="0" fontId="72" fillId="34" borderId="12" xfId="0" applyFont="1" applyFill="1" applyBorder="1" applyAlignment="1">
      <alignment horizontal="left" vertical="center" wrapText="1"/>
    </xf>
    <xf numFmtId="0" fontId="38" fillId="0" borderId="0" xfId="0" applyFont="1" applyFill="1" applyAlignment="1">
      <alignment horizontal="left" wrapText="1"/>
    </xf>
    <xf numFmtId="0" fontId="73" fillId="0" borderId="0" xfId="0" applyFont="1" applyFill="1" applyAlignment="1">
      <alignment horizontal="left" wrapText="1"/>
    </xf>
    <xf numFmtId="0" fontId="38" fillId="34" borderId="0" xfId="0" applyFont="1" applyFill="1" applyAlignment="1">
      <alignment horizontal="left" wrapText="1"/>
    </xf>
    <xf numFmtId="0" fontId="12" fillId="0" borderId="0" xfId="0" applyFont="1" applyFill="1" applyBorder="1" applyAlignment="1">
      <alignment horizontal="left" vertical="center" wrapText="1"/>
    </xf>
    <xf numFmtId="0" fontId="82" fillId="34" borderId="0" xfId="0" applyFont="1" applyFill="1" applyBorder="1" applyAlignment="1">
      <alignment horizontal="left" vertical="top" wrapText="1"/>
    </xf>
    <xf numFmtId="0" fontId="12" fillId="34" borderId="0" xfId="0" applyFont="1" applyFill="1" applyBorder="1" applyAlignment="1">
      <alignment horizontal="left" vertical="center" wrapText="1"/>
    </xf>
    <xf numFmtId="0" fontId="87" fillId="0" borderId="0" xfId="0" applyFont="1" applyFill="1" applyBorder="1" applyAlignment="1">
      <alignment horizontal="left" wrapText="1"/>
    </xf>
    <xf numFmtId="0" fontId="72" fillId="0" borderId="0" xfId="0" applyFont="1" applyFill="1" applyBorder="1" applyAlignment="1">
      <alignment horizontal="left" vertical="center" wrapText="1"/>
    </xf>
    <xf numFmtId="0" fontId="38" fillId="0" borderId="0" xfId="0" applyFont="1" applyFill="1" applyAlignment="1">
      <alignment horizontal="left"/>
    </xf>
    <xf numFmtId="0" fontId="15" fillId="34" borderId="0" xfId="0" applyFont="1" applyFill="1" applyBorder="1" applyAlignment="1">
      <alignment vertical="center" wrapText="1"/>
    </xf>
    <xf numFmtId="0" fontId="14" fillId="34" borderId="0" xfId="0" applyFont="1" applyFill="1" applyBorder="1" applyAlignment="1">
      <alignment horizontal="left" vertical="center" wrapText="1" indent="2"/>
    </xf>
    <xf numFmtId="0" fontId="13" fillId="0" borderId="0" xfId="0" applyFont="1" applyFill="1" applyBorder="1" applyAlignment="1">
      <alignment horizontal="left" vertical="center" wrapText="1" indent="2"/>
    </xf>
    <xf numFmtId="0" fontId="90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34" borderId="0" xfId="0" applyFont="1" applyFill="1" applyBorder="1" applyAlignment="1">
      <alignment horizontal="left" vertical="center" wrapText="1"/>
    </xf>
    <xf numFmtId="0" fontId="82" fillId="34" borderId="0" xfId="0" applyFont="1" applyFill="1" applyBorder="1" applyAlignment="1">
      <alignment horizontal="left"/>
    </xf>
    <xf numFmtId="10" fontId="73" fillId="34" borderId="0" xfId="0" applyNumberFormat="1" applyFont="1" applyFill="1" applyAlignment="1">
      <alignment horizontal="left" wrapText="1"/>
    </xf>
    <xf numFmtId="10" fontId="73" fillId="0" borderId="0" xfId="0" applyNumberFormat="1" applyFont="1" applyFill="1" applyBorder="1" applyAlignment="1">
      <alignment horizontal="left" wrapText="1"/>
    </xf>
    <xf numFmtId="0" fontId="27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27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right" wrapText="1"/>
    </xf>
    <xf numFmtId="0" fontId="29" fillId="0" borderId="64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 wrapText="1"/>
    </xf>
    <xf numFmtId="0" fontId="27" fillId="0" borderId="61" xfId="0" applyFont="1" applyBorder="1" applyAlignment="1">
      <alignment horizontal="center" vertical="center" wrapText="1"/>
    </xf>
    <xf numFmtId="0" fontId="27" fillId="0" borderId="58" xfId="0" applyFont="1" applyBorder="1" applyAlignment="1">
      <alignment horizontal="center" vertical="center" wrapText="1"/>
    </xf>
    <xf numFmtId="0" fontId="27" fillId="0" borderId="59" xfId="0" applyFont="1" applyBorder="1" applyAlignment="1">
      <alignment horizontal="center" vertical="center" wrapText="1"/>
    </xf>
    <xf numFmtId="0" fontId="22" fillId="0" borderId="63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14" fillId="0" borderId="64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70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 wrapText="1"/>
    </xf>
    <xf numFmtId="0" fontId="50" fillId="34" borderId="0" xfId="0" applyFont="1" applyFill="1" applyBorder="1" applyAlignment="1">
      <alignment horizontal="left" vertical="center" wrapText="1"/>
    </xf>
    <xf numFmtId="0" fontId="39" fillId="34" borderId="0" xfId="0" applyFont="1" applyFill="1" applyBorder="1" applyAlignment="1">
      <alignment horizontal="left" vertical="center" wrapText="1"/>
    </xf>
    <xf numFmtId="0" fontId="22" fillId="34" borderId="0" xfId="0" applyFont="1" applyFill="1" applyBorder="1" applyAlignment="1">
      <alignment horizontal="left" vertical="center" wrapText="1"/>
    </xf>
    <xf numFmtId="0" fontId="22" fillId="34" borderId="0" xfId="0" applyFont="1" applyFill="1" applyBorder="1" applyAlignment="1">
      <alignment horizontal="left" vertical="center"/>
    </xf>
    <xf numFmtId="0" fontId="24" fillId="0" borderId="14" xfId="0" applyFont="1" applyBorder="1" applyAlignment="1">
      <alignment horizontal="left" vertical="center" wrapText="1"/>
    </xf>
    <xf numFmtId="0" fontId="24" fillId="0" borderId="0" xfId="0" applyFont="1" applyAlignment="1">
      <alignment horizontal="left" wrapText="1"/>
    </xf>
    <xf numFmtId="0" fontId="16" fillId="34" borderId="0" xfId="0" applyFont="1" applyFill="1" applyBorder="1" applyAlignment="1">
      <alignment horizontal="left" wrapText="1"/>
    </xf>
    <xf numFmtId="0" fontId="30" fillId="0" borderId="0" xfId="0" applyFont="1" applyBorder="1" applyAlignment="1">
      <alignment horizontal="left" vertical="center" wrapText="1"/>
    </xf>
    <xf numFmtId="0" fontId="0" fillId="0" borderId="0" xfId="0" applyAlignment="1"/>
    <xf numFmtId="0" fontId="2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wrapText="1"/>
    </xf>
    <xf numFmtId="0" fontId="16" fillId="0" borderId="0" xfId="0" applyFont="1" applyBorder="1" applyAlignment="1">
      <alignment horizontal="left" vertical="center" wrapText="1"/>
    </xf>
    <xf numFmtId="0" fontId="13" fillId="0" borderId="0" xfId="0" applyFont="1" applyAlignment="1"/>
    <xf numFmtId="0" fontId="12" fillId="0" borderId="5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right" vertical="center" wrapText="1"/>
    </xf>
    <xf numFmtId="0" fontId="28" fillId="0" borderId="0" xfId="0" applyFont="1" applyAlignment="1">
      <alignment horizontal="right" vertical="top"/>
    </xf>
    <xf numFmtId="0" fontId="28" fillId="0" borderId="0" xfId="0" applyFont="1" applyBorder="1" applyAlignment="1">
      <alignment horizontal="left" wrapText="1"/>
    </xf>
    <xf numFmtId="0" fontId="16" fillId="0" borderId="61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right" wrapText="1"/>
    </xf>
    <xf numFmtId="0" fontId="28" fillId="0" borderId="2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wrapText="1"/>
    </xf>
    <xf numFmtId="0" fontId="36" fillId="0" borderId="0" xfId="0" applyFont="1" applyBorder="1" applyAlignment="1">
      <alignment horizontal="right" wrapText="1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left" vertical="top" wrapText="1"/>
    </xf>
    <xf numFmtId="0" fontId="36" fillId="0" borderId="0" xfId="0" applyFont="1" applyBorder="1" applyAlignment="1">
      <alignment horizontal="left" wrapText="1"/>
    </xf>
    <xf numFmtId="0" fontId="8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 vertical="top" wrapText="1"/>
    </xf>
    <xf numFmtId="0" fontId="40" fillId="0" borderId="0" xfId="0" applyFont="1" applyBorder="1" applyAlignment="1">
      <alignment horizontal="left" vertical="top" wrapText="1"/>
    </xf>
    <xf numFmtId="0" fontId="28" fillId="0" borderId="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left" vertical="center" wrapText="1"/>
    </xf>
    <xf numFmtId="0" fontId="28" fillId="0" borderId="6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4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61" xfId="0" applyFont="1" applyFill="1" applyBorder="1" applyAlignment="1">
      <alignment horizontal="center" vertical="center" wrapText="1"/>
    </xf>
    <xf numFmtId="0" fontId="28" fillId="0" borderId="59" xfId="0" applyFont="1" applyFill="1" applyBorder="1" applyAlignment="1">
      <alignment horizontal="center" vertical="center" wrapText="1"/>
    </xf>
    <xf numFmtId="0" fontId="15" fillId="0" borderId="57" xfId="0" applyFont="1" applyBorder="1" applyAlignment="1">
      <alignment horizontal="right" wrapText="1"/>
    </xf>
    <xf numFmtId="0" fontId="28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left" wrapText="1"/>
    </xf>
    <xf numFmtId="0" fontId="12" fillId="0" borderId="57" xfId="0" applyFont="1" applyBorder="1" applyAlignment="1">
      <alignment horizontal="right" wrapText="1"/>
    </xf>
    <xf numFmtId="0" fontId="41" fillId="0" borderId="0" xfId="0" applyFont="1" applyAlignment="1">
      <alignment horizontal="right" vertical="center" wrapText="1"/>
    </xf>
    <xf numFmtId="0" fontId="30" fillId="0" borderId="0" xfId="0" applyFont="1" applyAlignment="1">
      <alignment horizontal="right" vertical="center" wrapText="1"/>
    </xf>
    <xf numFmtId="0" fontId="3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wrapText="1"/>
    </xf>
    <xf numFmtId="0" fontId="30" fillId="0" borderId="0" xfId="0" applyFont="1" applyBorder="1" applyAlignment="1">
      <alignment horizontal="right"/>
    </xf>
    <xf numFmtId="0" fontId="31" fillId="0" borderId="0" xfId="0" applyFont="1" applyAlignment="1">
      <alignment horizontal="left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6" fillId="0" borderId="0" xfId="0" applyFont="1" applyAlignment="1">
      <alignment horizontal="left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right" wrapText="1"/>
    </xf>
    <xf numFmtId="0" fontId="15" fillId="0" borderId="2" xfId="0" applyFont="1" applyBorder="1" applyAlignment="1">
      <alignment horizontal="center" wrapText="1"/>
    </xf>
    <xf numFmtId="0" fontId="36" fillId="0" borderId="0" xfId="0" applyFont="1" applyAlignment="1">
      <alignment horizontal="left"/>
    </xf>
    <xf numFmtId="0" fontId="12" fillId="0" borderId="57" xfId="0" applyFont="1" applyBorder="1" applyAlignment="1">
      <alignment horizontal="right"/>
    </xf>
    <xf numFmtId="0" fontId="9" fillId="0" borderId="63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61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132" fillId="0" borderId="0" xfId="232" applyFont="1" applyBorder="1" applyAlignment="1">
      <alignment horizontal="center"/>
    </xf>
    <xf numFmtId="0" fontId="125" fillId="0" borderId="62" xfId="0" applyFont="1" applyBorder="1" applyAlignment="1">
      <alignment horizontal="center" vertical="top" wrapText="1"/>
    </xf>
    <xf numFmtId="0" fontId="125" fillId="0" borderId="3" xfId="0" applyFont="1" applyBorder="1" applyAlignment="1">
      <alignment horizontal="center" vertical="top" wrapText="1"/>
    </xf>
    <xf numFmtId="0" fontId="125" fillId="0" borderId="2" xfId="0" applyFont="1" applyBorder="1" applyAlignment="1">
      <alignment horizontal="center"/>
    </xf>
    <xf numFmtId="0" fontId="122" fillId="0" borderId="2" xfId="0" applyFont="1" applyBorder="1" applyAlignment="1">
      <alignment horizontal="center" vertical="top" wrapText="1"/>
    </xf>
    <xf numFmtId="0" fontId="125" fillId="0" borderId="2" xfId="0" applyFont="1" applyBorder="1" applyAlignment="1">
      <alignment horizontal="center" vertical="top" wrapText="1"/>
    </xf>
    <xf numFmtId="0" fontId="125" fillId="0" borderId="61" xfId="0" applyFont="1" applyBorder="1" applyAlignment="1">
      <alignment horizontal="left"/>
    </xf>
    <xf numFmtId="0" fontId="125" fillId="0" borderId="58" xfId="0" applyFont="1" applyBorder="1" applyAlignment="1">
      <alignment horizontal="left"/>
    </xf>
    <xf numFmtId="0" fontId="125" fillId="0" borderId="59" xfId="0" applyFont="1" applyBorder="1" applyAlignment="1">
      <alignment horizontal="left"/>
    </xf>
    <xf numFmtId="0" fontId="125" fillId="0" borderId="2" xfId="232" applyFont="1" applyBorder="1" applyAlignment="1">
      <alignment horizontal="center" vertical="center" wrapText="1"/>
    </xf>
    <xf numFmtId="0" fontId="132" fillId="0" borderId="0" xfId="232" applyFont="1" applyBorder="1" applyAlignment="1">
      <alignment horizontal="right"/>
    </xf>
    <xf numFmtId="0" fontId="167" fillId="0" borderId="2" xfId="0" applyFont="1" applyBorder="1" applyAlignment="1">
      <alignment horizontal="center" wrapText="1"/>
    </xf>
    <xf numFmtId="0" fontId="14" fillId="0" borderId="49" xfId="0" applyFont="1" applyBorder="1" applyAlignment="1">
      <alignment horizontal="left" vertical="center" textRotation="90"/>
    </xf>
    <xf numFmtId="0" fontId="14" fillId="0" borderId="66" xfId="0" applyFont="1" applyBorder="1" applyAlignment="1">
      <alignment horizontal="left" vertical="center" textRotation="90"/>
    </xf>
    <xf numFmtId="0" fontId="27" fillId="0" borderId="0" xfId="0" applyFont="1" applyAlignment="1">
      <alignment horizontal="center" vertical="top"/>
    </xf>
    <xf numFmtId="0" fontId="22" fillId="0" borderId="2" xfId="0" applyFont="1" applyBorder="1" applyAlignment="1">
      <alignment horizontal="left" vertical="top"/>
    </xf>
    <xf numFmtId="0" fontId="14" fillId="0" borderId="54" xfId="0" applyFont="1" applyBorder="1" applyAlignment="1">
      <alignment horizontal="left" vertical="center" textRotation="90"/>
    </xf>
    <xf numFmtId="0" fontId="14" fillId="0" borderId="54" xfId="0" applyFont="1" applyBorder="1" applyAlignment="1">
      <alignment vertical="center" textRotation="90"/>
    </xf>
    <xf numFmtId="0" fontId="14" fillId="0" borderId="53" xfId="0" applyFont="1" applyBorder="1" applyAlignment="1">
      <alignment vertical="center" textRotation="90"/>
    </xf>
    <xf numFmtId="0" fontId="14" fillId="0" borderId="50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24" fillId="0" borderId="0" xfId="0" applyFont="1" applyBorder="1" applyAlignment="1">
      <alignment horizontal="center"/>
    </xf>
    <xf numFmtId="49" fontId="112" fillId="0" borderId="60" xfId="0" applyNumberFormat="1" applyFont="1" applyBorder="1" applyAlignment="1">
      <alignment horizontal="center" vertical="center" textRotation="88"/>
    </xf>
    <xf numFmtId="0" fontId="126" fillId="0" borderId="57" xfId="0" applyFont="1" applyBorder="1" applyAlignment="1">
      <alignment horizontal="right"/>
    </xf>
    <xf numFmtId="0" fontId="112" fillId="0" borderId="58" xfId="0" applyFont="1" applyBorder="1" applyAlignment="1">
      <alignment horizontal="right"/>
    </xf>
    <xf numFmtId="0" fontId="112" fillId="0" borderId="61" xfId="0" applyFont="1" applyBorder="1" applyAlignment="1">
      <alignment horizontal="center" vertical="center" wrapText="1"/>
    </xf>
    <xf numFmtId="0" fontId="112" fillId="0" borderId="59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5" fillId="0" borderId="0" xfId="0" applyFont="1" applyAlignment="1">
      <alignment wrapText="1"/>
    </xf>
  </cellXfs>
  <cellStyles count="233">
    <cellStyle name="20% - Accent1 2" xfId="1"/>
    <cellStyle name="20% - Accent1 3" xfId="2"/>
    <cellStyle name="20% - Accent1 4" xfId="3"/>
    <cellStyle name="20% - Accent1 5" xfId="4"/>
    <cellStyle name="20% - Accent1 6" xfId="5"/>
    <cellStyle name="20% - Accent2 2" xfId="6"/>
    <cellStyle name="20% - Accent2 3" xfId="7"/>
    <cellStyle name="20% - Accent2 4" xfId="8"/>
    <cellStyle name="20% - Accent2 5" xfId="9"/>
    <cellStyle name="20% - Accent2 6" xfId="10"/>
    <cellStyle name="20% - Accent3 2" xfId="11"/>
    <cellStyle name="20% - Accent3 3" xfId="12"/>
    <cellStyle name="20% - Accent3 4" xfId="13"/>
    <cellStyle name="20% - Accent3 5" xfId="14"/>
    <cellStyle name="20% - Accent3 6" xfId="15"/>
    <cellStyle name="20% - Accent4 2" xfId="16"/>
    <cellStyle name="20% - Accent4 3" xfId="17"/>
    <cellStyle name="20% - Accent4 4" xfId="18"/>
    <cellStyle name="20% - Accent4 5" xfId="19"/>
    <cellStyle name="20% - Accent4 6" xfId="20"/>
    <cellStyle name="20% - Accent5 2" xfId="21"/>
    <cellStyle name="20% - Accent5 3" xfId="22"/>
    <cellStyle name="20% - Accent5 4" xfId="23"/>
    <cellStyle name="20% - Accent5 5" xfId="24"/>
    <cellStyle name="20% - Accent5 6" xfId="25"/>
    <cellStyle name="20% - Accent6 2" xfId="26"/>
    <cellStyle name="20% - Accent6 3" xfId="27"/>
    <cellStyle name="20% - Accent6 4" xfId="28"/>
    <cellStyle name="20% - Accent6 5" xfId="29"/>
    <cellStyle name="20% - Accent6 6" xfId="30"/>
    <cellStyle name="40% - Accent1 2" xfId="31"/>
    <cellStyle name="40% - Accent1 3" xfId="32"/>
    <cellStyle name="40% - Accent1 4" xfId="33"/>
    <cellStyle name="40% - Accent1 5" xfId="34"/>
    <cellStyle name="40% - Accent1 6" xfId="35"/>
    <cellStyle name="40% - Accent2 2" xfId="36"/>
    <cellStyle name="40% - Accent2 3" xfId="37"/>
    <cellStyle name="40% - Accent2 4" xfId="38"/>
    <cellStyle name="40% - Accent2 5" xfId="39"/>
    <cellStyle name="40% - Accent2 6" xfId="40"/>
    <cellStyle name="40% - Accent3 2" xfId="41"/>
    <cellStyle name="40% - Accent3 3" xfId="42"/>
    <cellStyle name="40% - Accent3 4" xfId="43"/>
    <cellStyle name="40% - Accent3 5" xfId="44"/>
    <cellStyle name="40% - Accent3 6" xfId="45"/>
    <cellStyle name="40% - Accent4 2" xfId="46"/>
    <cellStyle name="40% - Accent4 3" xfId="47"/>
    <cellStyle name="40% - Accent4 4" xfId="48"/>
    <cellStyle name="40% - Accent4 5" xfId="49"/>
    <cellStyle name="40% - Accent4 6" xfId="50"/>
    <cellStyle name="40% - Accent5 2" xfId="51"/>
    <cellStyle name="40% - Accent5 3" xfId="52"/>
    <cellStyle name="40% - Accent5 4" xfId="53"/>
    <cellStyle name="40% - Accent5 5" xfId="54"/>
    <cellStyle name="40% - Accent5 6" xfId="55"/>
    <cellStyle name="40% - Accent6 2" xfId="56"/>
    <cellStyle name="40% - Accent6 3" xfId="57"/>
    <cellStyle name="40% - Accent6 4" xfId="58"/>
    <cellStyle name="40% - Accent6 5" xfId="59"/>
    <cellStyle name="40% - Accent6 6" xfId="60"/>
    <cellStyle name="60% - Accent1 2" xfId="61"/>
    <cellStyle name="60% - Accent1 3" xfId="62"/>
    <cellStyle name="60% - Accent1 4" xfId="63"/>
    <cellStyle name="60% - Accent1 5" xfId="64"/>
    <cellStyle name="60% - Accent1 6" xfId="65"/>
    <cellStyle name="60% - Accent2 2" xfId="66"/>
    <cellStyle name="60% - Accent2 3" xfId="67"/>
    <cellStyle name="60% - Accent2 4" xfId="68"/>
    <cellStyle name="60% - Accent2 5" xfId="69"/>
    <cellStyle name="60% - Accent2 6" xfId="70"/>
    <cellStyle name="60% - Accent3 2" xfId="71"/>
    <cellStyle name="60% - Accent3 3" xfId="72"/>
    <cellStyle name="60% - Accent3 4" xfId="73"/>
    <cellStyle name="60% - Accent3 5" xfId="74"/>
    <cellStyle name="60% - Accent3 6" xfId="75"/>
    <cellStyle name="60% - Accent4 2" xfId="76"/>
    <cellStyle name="60% - Accent4 3" xfId="77"/>
    <cellStyle name="60% - Accent4 4" xfId="78"/>
    <cellStyle name="60% - Accent4 5" xfId="79"/>
    <cellStyle name="60% - Accent4 6" xfId="80"/>
    <cellStyle name="60% - Accent5 2" xfId="81"/>
    <cellStyle name="60% - Accent5 3" xfId="82"/>
    <cellStyle name="60% - Accent5 4" xfId="83"/>
    <cellStyle name="60% - Accent5 5" xfId="84"/>
    <cellStyle name="60% - Accent5 6" xfId="85"/>
    <cellStyle name="60% - Accent6 2" xfId="86"/>
    <cellStyle name="60% - Accent6 3" xfId="87"/>
    <cellStyle name="60% - Accent6 4" xfId="88"/>
    <cellStyle name="60% - Accent6 5" xfId="89"/>
    <cellStyle name="60% - Accent6 6" xfId="90"/>
    <cellStyle name="Accent1 2" xfId="91"/>
    <cellStyle name="Accent1 3" xfId="92"/>
    <cellStyle name="Accent1 4" xfId="93"/>
    <cellStyle name="Accent1 5" xfId="94"/>
    <cellStyle name="Accent1 6" xfId="95"/>
    <cellStyle name="Accent2 2" xfId="96"/>
    <cellStyle name="Accent2 3" xfId="97"/>
    <cellStyle name="Accent2 4" xfId="98"/>
    <cellStyle name="Accent2 5" xfId="99"/>
    <cellStyle name="Accent2 6" xfId="100"/>
    <cellStyle name="Accent3 2" xfId="101"/>
    <cellStyle name="Accent3 3" xfId="102"/>
    <cellStyle name="Accent3 4" xfId="103"/>
    <cellStyle name="Accent3 5" xfId="104"/>
    <cellStyle name="Accent3 6" xfId="105"/>
    <cellStyle name="Accent4 2" xfId="106"/>
    <cellStyle name="Accent4 3" xfId="107"/>
    <cellStyle name="Accent4 4" xfId="108"/>
    <cellStyle name="Accent4 5" xfId="109"/>
    <cellStyle name="Accent4 6" xfId="110"/>
    <cellStyle name="Accent5 2" xfId="111"/>
    <cellStyle name="Accent5 3" xfId="112"/>
    <cellStyle name="Accent5 4" xfId="113"/>
    <cellStyle name="Accent5 5" xfId="114"/>
    <cellStyle name="Accent5 6" xfId="115"/>
    <cellStyle name="Accent6 2" xfId="116"/>
    <cellStyle name="Accent6 3" xfId="117"/>
    <cellStyle name="Accent6 4" xfId="118"/>
    <cellStyle name="Accent6 5" xfId="119"/>
    <cellStyle name="Accent6 6" xfId="120"/>
    <cellStyle name="Bad 2" xfId="121"/>
    <cellStyle name="Bad 3" xfId="122"/>
    <cellStyle name="Bad 4" xfId="123"/>
    <cellStyle name="Bad 5" xfId="124"/>
    <cellStyle name="Bad 6" xfId="125"/>
    <cellStyle name="Calculation 2" xfId="126"/>
    <cellStyle name="Calculation 3" xfId="127"/>
    <cellStyle name="Calculation 4" xfId="128"/>
    <cellStyle name="Calculation 5" xfId="129"/>
    <cellStyle name="Calculation 6" xfId="130"/>
    <cellStyle name="Check Cell 2" xfId="131"/>
    <cellStyle name="Check Cell 3" xfId="132"/>
    <cellStyle name="Check Cell 4" xfId="133"/>
    <cellStyle name="Check Cell 5" xfId="134"/>
    <cellStyle name="Check Cell 6" xfId="135"/>
    <cellStyle name="Comma" xfId="136" builtinId="3"/>
    <cellStyle name="Comma 2" xfId="137"/>
    <cellStyle name="Explanatory Text 2" xfId="138"/>
    <cellStyle name="Explanatory Text 3" xfId="139"/>
    <cellStyle name="Explanatory Text 4" xfId="140"/>
    <cellStyle name="Explanatory Text 5" xfId="141"/>
    <cellStyle name="Explanatory Text 6" xfId="142"/>
    <cellStyle name="Followed Hyperlink 2" xfId="143"/>
    <cellStyle name="Followed Hyperlink 3" xfId="144"/>
    <cellStyle name="Followed Hyperlink 4" xfId="145"/>
    <cellStyle name="Followed Hyperlink 5" xfId="146"/>
    <cellStyle name="Followed Hyperlink 6" xfId="147"/>
    <cellStyle name="Good 2" xfId="148"/>
    <cellStyle name="Good 3" xfId="149"/>
    <cellStyle name="Good 4" xfId="150"/>
    <cellStyle name="Good 5" xfId="151"/>
    <cellStyle name="Good 6" xfId="152"/>
    <cellStyle name="Heading 1 2" xfId="153"/>
    <cellStyle name="Heading 1 3" xfId="154"/>
    <cellStyle name="Heading 1 4" xfId="155"/>
    <cellStyle name="Heading 1 5" xfId="156"/>
    <cellStyle name="Heading 1 6" xfId="157"/>
    <cellStyle name="Heading 2 2" xfId="158"/>
    <cellStyle name="Heading 2 3" xfId="159"/>
    <cellStyle name="Heading 2 4" xfId="160"/>
    <cellStyle name="Heading 2 5" xfId="161"/>
    <cellStyle name="Heading 2 6" xfId="162"/>
    <cellStyle name="Heading 3 2" xfId="163"/>
    <cellStyle name="Heading 3 3" xfId="164"/>
    <cellStyle name="Heading 3 4" xfId="165"/>
    <cellStyle name="Heading 3 5" xfId="166"/>
    <cellStyle name="Heading 3 6" xfId="167"/>
    <cellStyle name="Heading 4 2" xfId="168"/>
    <cellStyle name="Heading 4 3" xfId="169"/>
    <cellStyle name="Heading 4 4" xfId="170"/>
    <cellStyle name="Heading 4 5" xfId="171"/>
    <cellStyle name="Heading 4 6" xfId="172"/>
    <cellStyle name="Hyperlink" xfId="173" builtinId="8"/>
    <cellStyle name="Hyperlink 2" xfId="174"/>
    <cellStyle name="Hyperlink 3" xfId="175"/>
    <cellStyle name="Hyperlink 4" xfId="176"/>
    <cellStyle name="Hyperlink 5" xfId="177"/>
    <cellStyle name="Hyperlink 6" xfId="178"/>
    <cellStyle name="Input 2" xfId="179"/>
    <cellStyle name="Input 3" xfId="180"/>
    <cellStyle name="Input 4" xfId="181"/>
    <cellStyle name="Input 5" xfId="182"/>
    <cellStyle name="Input 6" xfId="183"/>
    <cellStyle name="Linked Cell 2" xfId="184"/>
    <cellStyle name="Linked Cell 3" xfId="185"/>
    <cellStyle name="Linked Cell 4" xfId="186"/>
    <cellStyle name="Linked Cell 5" xfId="187"/>
    <cellStyle name="Linked Cell 6" xfId="188"/>
    <cellStyle name="Neutral 2" xfId="189"/>
    <cellStyle name="Neutral 3" xfId="190"/>
    <cellStyle name="Neutral 4" xfId="191"/>
    <cellStyle name="Neutral 5" xfId="192"/>
    <cellStyle name="Neutral 6" xfId="193"/>
    <cellStyle name="Normal" xfId="0" builtinId="0"/>
    <cellStyle name="Normal 10" xfId="194"/>
    <cellStyle name="Normal 13" xfId="195"/>
    <cellStyle name="Normal 14" xfId="232"/>
    <cellStyle name="Normal 2" xfId="196"/>
    <cellStyle name="Normal 2 2" xfId="197"/>
    <cellStyle name="Normal 20" xfId="198"/>
    <cellStyle name="Normal 3 2" xfId="199"/>
    <cellStyle name="Normal 4 2" xfId="200"/>
    <cellStyle name="Normal 5 2" xfId="201"/>
    <cellStyle name="Normal 6" xfId="202"/>
    <cellStyle name="Normal 6 2" xfId="203"/>
    <cellStyle name="Normal 7" xfId="204"/>
    <cellStyle name="Normal 8" xfId="205"/>
    <cellStyle name="Normal 9" xfId="206"/>
    <cellStyle name="Note 2" xfId="207"/>
    <cellStyle name="Note 3" xfId="208"/>
    <cellStyle name="Note 4" xfId="209"/>
    <cellStyle name="Note 5" xfId="210"/>
    <cellStyle name="Note 6" xfId="211"/>
    <cellStyle name="Output 2" xfId="212"/>
    <cellStyle name="Output 3" xfId="213"/>
    <cellStyle name="Output 4" xfId="214"/>
    <cellStyle name="Output 5" xfId="215"/>
    <cellStyle name="Output 6" xfId="216"/>
    <cellStyle name="Title 2" xfId="217"/>
    <cellStyle name="Title 3" xfId="218"/>
    <cellStyle name="Title 4" xfId="219"/>
    <cellStyle name="Title 5" xfId="220"/>
    <cellStyle name="Title 6" xfId="221"/>
    <cellStyle name="Total 2" xfId="222"/>
    <cellStyle name="Total 3" xfId="223"/>
    <cellStyle name="Total 4" xfId="224"/>
    <cellStyle name="Total 5" xfId="225"/>
    <cellStyle name="Total 6" xfId="226"/>
    <cellStyle name="Warning Text 2" xfId="227"/>
    <cellStyle name="Warning Text 3" xfId="228"/>
    <cellStyle name="Warning Text 4" xfId="229"/>
    <cellStyle name="Warning Text 5" xfId="230"/>
    <cellStyle name="Warning Text 6" xfId="231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37</xdr:row>
      <xdr:rowOff>91440</xdr:rowOff>
    </xdr:from>
    <xdr:to>
      <xdr:col>7</xdr:col>
      <xdr:colOff>99060</xdr:colOff>
      <xdr:row>39</xdr:row>
      <xdr:rowOff>678180</xdr:rowOff>
    </xdr:to>
    <xdr:pic>
      <xdr:nvPicPr>
        <xdr:cNvPr id="142594" name="Picture 1562">
          <a:extLst>
            <a:ext uri="{FF2B5EF4-FFF2-40B4-BE49-F238E27FC236}">
              <a16:creationId xmlns:a16="http://schemas.microsoft.com/office/drawing/2014/main" xmlns="" id="{00000000-0008-0000-0000-0000022D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84120" y="10607040"/>
          <a:ext cx="861060" cy="10134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281940</xdr:colOff>
      <xdr:row>37</xdr:row>
      <xdr:rowOff>91440</xdr:rowOff>
    </xdr:from>
    <xdr:to>
      <xdr:col>7</xdr:col>
      <xdr:colOff>99060</xdr:colOff>
      <xdr:row>39</xdr:row>
      <xdr:rowOff>678180</xdr:rowOff>
    </xdr:to>
    <xdr:pic>
      <xdr:nvPicPr>
        <xdr:cNvPr id="4" name="Picture 1562">
          <a:extLst>
            <a:ext uri="{FF2B5EF4-FFF2-40B4-BE49-F238E27FC236}">
              <a16:creationId xmlns="" xmlns:a16="http://schemas.microsoft.com/office/drawing/2014/main" id="{00000000-0008-0000-0000-0000022D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5065" y="10673715"/>
          <a:ext cx="836295" cy="1024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11907</xdr:colOff>
      <xdr:row>4</xdr:row>
      <xdr:rowOff>142874</xdr:rowOff>
    </xdr:from>
    <xdr:to>
      <xdr:col>9</xdr:col>
      <xdr:colOff>738187</xdr:colOff>
      <xdr:row>24</xdr:row>
      <xdr:rowOff>11906</xdr:rowOff>
    </xdr:to>
    <xdr:pic>
      <xdr:nvPicPr>
        <xdr:cNvPr id="5" name="Picture 4" descr="D:\After leave\ET FOR YEAR 2021\ET July 2021\Cover-July-2021.jpg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2438" y="809624"/>
          <a:ext cx="5214937" cy="5453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R604"/>
  <sheetViews>
    <sheetView showGridLines="0" topLeftCell="A22" zoomScale="80" zoomScaleNormal="80" workbookViewId="0">
      <selection activeCell="C5" sqref="C5"/>
    </sheetView>
  </sheetViews>
  <sheetFormatPr defaultRowHeight="12.75"/>
  <cols>
    <col min="1" max="1" width="3.42578125" style="235" customWidth="1"/>
    <col min="2" max="2" width="3.28515625" style="1026" customWidth="1"/>
    <col min="3" max="3" width="6.5703125" customWidth="1"/>
    <col min="4" max="4" width="12.85546875" customWidth="1"/>
    <col min="5" max="5" width="9.5703125" customWidth="1"/>
    <col min="6" max="6" width="7.42578125" customWidth="1"/>
    <col min="7" max="7" width="9.7109375" customWidth="1"/>
    <col min="8" max="8" width="9.42578125" customWidth="1"/>
    <col min="9" max="10" width="11.5703125" customWidth="1"/>
    <col min="11" max="11" width="6.85546875" customWidth="1"/>
    <col min="12" max="12" width="3.5703125" style="246" customWidth="1"/>
    <col min="13" max="13" width="3.140625" style="246" customWidth="1"/>
    <col min="14" max="14" width="7.42578125" style="246" customWidth="1"/>
    <col min="15" max="15" width="8.5703125" style="246" customWidth="1"/>
    <col min="16" max="18" width="9.140625" style="246" customWidth="1"/>
    <col min="19" max="19" width="11" style="246" customWidth="1"/>
    <col min="20" max="20" width="12.5703125" style="246" customWidth="1"/>
    <col min="21" max="96" width="9.140625" style="246" customWidth="1"/>
  </cols>
  <sheetData>
    <row r="1" spans="1:24">
      <c r="B1" s="491"/>
      <c r="C1" s="250"/>
      <c r="D1" s="250"/>
      <c r="E1" s="250"/>
      <c r="F1" s="250"/>
      <c r="G1" s="250"/>
      <c r="H1" s="250"/>
      <c r="I1" s="250"/>
      <c r="J1" s="250"/>
      <c r="K1" s="250"/>
    </row>
    <row r="2" spans="1:24">
      <c r="B2" s="492"/>
      <c r="C2" s="250"/>
      <c r="D2" s="250"/>
      <c r="E2" s="250"/>
      <c r="F2" s="250"/>
      <c r="G2" s="250"/>
      <c r="H2" s="250"/>
      <c r="I2" s="250"/>
      <c r="J2" s="250"/>
      <c r="K2" s="250"/>
    </row>
    <row r="3" spans="1:24">
      <c r="B3" s="492"/>
      <c r="C3" s="250"/>
      <c r="D3" s="250"/>
      <c r="E3" s="250"/>
      <c r="F3" s="250"/>
      <c r="G3" s="250"/>
      <c r="H3" s="250"/>
      <c r="I3" s="250"/>
      <c r="J3" s="250"/>
      <c r="K3" s="250"/>
    </row>
    <row r="4" spans="1:24">
      <c r="B4" s="492"/>
      <c r="C4" s="250"/>
      <c r="D4" s="250"/>
      <c r="E4" s="250"/>
      <c r="F4" s="250"/>
      <c r="G4" s="250"/>
      <c r="H4" s="250"/>
      <c r="I4" s="250"/>
      <c r="J4" s="250"/>
      <c r="K4" s="250"/>
      <c r="M4" s="247"/>
    </row>
    <row r="5" spans="1:24" ht="13.5" thickBot="1">
      <c r="B5" s="492"/>
      <c r="C5" s="250"/>
      <c r="D5" s="250"/>
      <c r="E5" s="250"/>
      <c r="F5" s="250"/>
      <c r="G5" s="250"/>
      <c r="H5" s="250"/>
      <c r="I5" s="250"/>
      <c r="J5" s="250"/>
      <c r="K5" s="250"/>
    </row>
    <row r="6" spans="1:24">
      <c r="B6" s="492"/>
      <c r="C6" s="250"/>
      <c r="D6" s="250"/>
      <c r="F6" s="250"/>
      <c r="G6" s="250"/>
      <c r="H6" s="250"/>
      <c r="I6" s="250"/>
      <c r="J6" s="250"/>
      <c r="K6" s="250"/>
      <c r="M6" s="459"/>
      <c r="N6" s="460"/>
      <c r="O6" s="460"/>
      <c r="P6" s="460"/>
      <c r="Q6" s="460"/>
      <c r="R6" s="460"/>
      <c r="S6" s="460"/>
      <c r="T6" s="461"/>
    </row>
    <row r="7" spans="1:24" ht="15.75">
      <c r="A7" s="236"/>
      <c r="B7" s="492"/>
      <c r="C7" s="236"/>
      <c r="D7" s="442"/>
      <c r="E7" s="236"/>
      <c r="F7" s="236"/>
      <c r="G7" s="236"/>
      <c r="H7" s="250"/>
      <c r="I7" s="236"/>
      <c r="J7" s="236"/>
      <c r="K7" s="236"/>
      <c r="M7" s="462"/>
      <c r="N7" s="891"/>
      <c r="O7" s="891"/>
      <c r="P7" s="891"/>
      <c r="Q7" s="891"/>
      <c r="R7" s="891"/>
      <c r="S7" s="891"/>
      <c r="T7" s="463"/>
    </row>
    <row r="8" spans="1:24" ht="21">
      <c r="A8" s="236"/>
      <c r="B8" s="492"/>
      <c r="C8" s="236"/>
      <c r="D8" s="442"/>
      <c r="E8" s="236"/>
      <c r="F8" s="236"/>
      <c r="G8" s="236"/>
      <c r="H8" s="236"/>
      <c r="I8" s="236"/>
      <c r="J8" s="236"/>
      <c r="K8" s="236"/>
      <c r="M8" s="462"/>
      <c r="N8" s="891"/>
      <c r="O8" s="891"/>
      <c r="P8" s="910"/>
      <c r="Q8" s="911" t="s">
        <v>1049</v>
      </c>
      <c r="R8" s="910"/>
      <c r="S8" s="891"/>
      <c r="T8" s="463"/>
    </row>
    <row r="9" spans="1:24" ht="14.25" customHeight="1">
      <c r="A9" s="236"/>
      <c r="B9" s="492"/>
      <c r="C9" s="236"/>
      <c r="D9" s="442"/>
      <c r="E9" s="236"/>
      <c r="F9" s="236"/>
      <c r="G9" s="236"/>
      <c r="H9" s="236"/>
      <c r="I9" s="236"/>
      <c r="J9" s="236"/>
      <c r="K9" s="236"/>
      <c r="M9" s="462"/>
      <c r="N9" s="891"/>
      <c r="O9" s="891"/>
      <c r="P9" s="897"/>
      <c r="Q9" s="897"/>
      <c r="R9" s="897"/>
      <c r="S9" s="891"/>
      <c r="T9" s="463"/>
    </row>
    <row r="10" spans="1:24" ht="18.75" customHeight="1">
      <c r="A10" s="236"/>
      <c r="B10" s="492"/>
      <c r="C10" s="236"/>
      <c r="D10" s="442"/>
      <c r="E10" s="236"/>
      <c r="F10" s="236"/>
      <c r="G10" s="236"/>
      <c r="H10" s="236"/>
      <c r="I10" s="236"/>
      <c r="J10" s="236"/>
      <c r="K10" s="236"/>
      <c r="M10" s="462"/>
      <c r="N10" s="891"/>
      <c r="O10" s="891"/>
      <c r="P10" s="897"/>
      <c r="Q10" s="912" t="s">
        <v>1050</v>
      </c>
      <c r="R10" s="897"/>
      <c r="S10" s="891"/>
      <c r="T10" s="463"/>
    </row>
    <row r="11" spans="1:24" ht="16.5" customHeight="1">
      <c r="A11" s="236"/>
      <c r="B11" s="492"/>
      <c r="C11" s="236"/>
      <c r="D11" s="442"/>
      <c r="E11" s="236"/>
      <c r="F11" s="236"/>
      <c r="G11" s="236"/>
      <c r="H11" s="236"/>
      <c r="I11" s="236"/>
      <c r="J11" s="236"/>
      <c r="K11" s="236"/>
      <c r="M11" s="462"/>
      <c r="N11" s="1236"/>
      <c r="O11" s="1683" t="s">
        <v>2128</v>
      </c>
      <c r="P11" s="1683"/>
      <c r="Q11" s="1683"/>
      <c r="R11" s="1683"/>
      <c r="S11" s="1683"/>
      <c r="T11" s="463"/>
    </row>
    <row r="12" spans="1:24" ht="19.5" customHeight="1">
      <c r="A12" s="236"/>
      <c r="B12" s="492"/>
      <c r="C12" s="236"/>
      <c r="D12" s="442"/>
      <c r="E12" s="236"/>
      <c r="F12" s="236"/>
      <c r="G12" s="236"/>
      <c r="H12" s="236"/>
      <c r="I12" s="236"/>
      <c r="J12" s="236"/>
      <c r="K12" s="236"/>
      <c r="M12" s="462"/>
      <c r="N12" s="1681" t="s">
        <v>2129</v>
      </c>
      <c r="O12" s="1681"/>
      <c r="P12" s="1681"/>
      <c r="Q12" s="1681"/>
      <c r="R12" s="1681"/>
      <c r="S12" s="1681"/>
      <c r="T12" s="463"/>
    </row>
    <row r="13" spans="1:24" ht="14.25" customHeight="1">
      <c r="A13" s="236"/>
      <c r="B13" s="492"/>
      <c r="C13" s="236"/>
      <c r="D13" s="442"/>
      <c r="E13" s="236"/>
      <c r="F13" s="236"/>
      <c r="G13" s="236"/>
      <c r="H13" s="236"/>
      <c r="I13" s="236"/>
      <c r="J13" s="236"/>
      <c r="K13" s="236"/>
      <c r="M13" s="462"/>
      <c r="N13" s="1007"/>
      <c r="O13" s="1007"/>
      <c r="P13" s="1008"/>
      <c r="Q13" s="1008"/>
      <c r="R13" s="1008"/>
      <c r="S13" s="1007"/>
      <c r="T13" s="463"/>
      <c r="W13" s="1163"/>
      <c r="X13" s="1235"/>
    </row>
    <row r="14" spans="1:24" ht="11.25" customHeight="1">
      <c r="A14" s="236"/>
      <c r="B14" s="492"/>
      <c r="C14" s="236"/>
      <c r="D14" s="442"/>
      <c r="E14" s="236"/>
      <c r="F14" s="236"/>
      <c r="G14" s="236"/>
      <c r="H14" s="236"/>
      <c r="I14" s="236"/>
      <c r="J14" s="236"/>
      <c r="K14" s="236"/>
      <c r="M14" s="462"/>
      <c r="N14" s="891"/>
      <c r="O14" s="891"/>
      <c r="P14" s="897"/>
      <c r="Q14" s="897"/>
      <c r="R14" s="897"/>
      <c r="S14" s="891"/>
      <c r="T14" s="463"/>
    </row>
    <row r="15" spans="1:24" ht="39.75" customHeight="1">
      <c r="A15" s="236"/>
      <c r="B15" s="492"/>
      <c r="C15" s="236"/>
      <c r="D15" s="442"/>
      <c r="E15" s="236"/>
      <c r="F15" s="1699"/>
      <c r="G15" s="1699"/>
      <c r="H15" s="1699"/>
      <c r="I15" s="1699"/>
      <c r="J15" s="1699"/>
      <c r="K15" s="236"/>
      <c r="M15" s="462"/>
      <c r="N15" s="891"/>
      <c r="O15" s="891"/>
      <c r="P15" s="897"/>
      <c r="Q15" s="912" t="s">
        <v>1051</v>
      </c>
      <c r="R15" s="897"/>
      <c r="S15" s="891"/>
      <c r="T15" s="463"/>
    </row>
    <row r="16" spans="1:24" ht="50.25" customHeight="1">
      <c r="A16" s="236"/>
      <c r="B16" s="492"/>
      <c r="C16" s="236"/>
      <c r="D16" s="442"/>
      <c r="E16" s="1700"/>
      <c r="F16" s="1700"/>
      <c r="G16" s="1700"/>
      <c r="H16" s="1700"/>
      <c r="I16" s="1700"/>
      <c r="J16" s="1700"/>
      <c r="K16" s="1700"/>
      <c r="M16" s="462"/>
      <c r="N16" s="891"/>
      <c r="O16" s="891"/>
      <c r="P16" s="1713" t="s">
        <v>2505</v>
      </c>
      <c r="Q16" s="1713"/>
      <c r="R16" s="1713"/>
      <c r="S16" s="1713"/>
      <c r="T16" s="463"/>
    </row>
    <row r="17" spans="1:96" ht="39.75" customHeight="1">
      <c r="A17" s="236"/>
      <c r="B17" s="492"/>
      <c r="C17" s="236"/>
      <c r="D17" s="442"/>
      <c r="E17" s="443"/>
      <c r="F17" s="1685"/>
      <c r="G17" s="1685"/>
      <c r="H17" s="1685"/>
      <c r="I17" s="1685"/>
      <c r="J17" s="1685"/>
      <c r="K17" s="443"/>
      <c r="M17" s="462"/>
      <c r="N17" s="891"/>
      <c r="O17" s="891"/>
      <c r="P17" s="1686" t="s">
        <v>2099</v>
      </c>
      <c r="Q17" s="1686"/>
      <c r="R17" s="1686"/>
      <c r="S17" s="1686"/>
      <c r="T17" s="463"/>
    </row>
    <row r="18" spans="1:96" ht="24" customHeight="1">
      <c r="A18" s="236"/>
      <c r="B18" s="492"/>
      <c r="C18" s="236"/>
      <c r="D18" s="442"/>
      <c r="E18" s="236"/>
      <c r="F18" s="236"/>
      <c r="G18" s="236"/>
      <c r="H18" s="236"/>
      <c r="I18" s="236"/>
      <c r="J18" s="236"/>
      <c r="K18" s="236"/>
      <c r="M18" s="462"/>
      <c r="N18" s="891"/>
      <c r="O18" s="1162"/>
      <c r="P18" s="1710" t="s">
        <v>2100</v>
      </c>
      <c r="Q18" s="1710"/>
      <c r="R18" s="1710"/>
      <c r="S18" s="1710"/>
      <c r="T18" s="463"/>
    </row>
    <row r="19" spans="1:96" ht="12" customHeight="1">
      <c r="A19" s="236"/>
      <c r="B19" s="492"/>
      <c r="C19" s="236"/>
      <c r="D19" s="442"/>
      <c r="E19" s="236"/>
      <c r="F19" s="236"/>
      <c r="G19" s="236"/>
      <c r="H19" s="236"/>
      <c r="I19" s="236"/>
      <c r="J19" s="236"/>
      <c r="K19" s="236"/>
      <c r="M19" s="462"/>
      <c r="N19" s="891"/>
      <c r="O19" s="1162"/>
      <c r="P19" s="1710"/>
      <c r="Q19" s="1710"/>
      <c r="R19" s="1710"/>
      <c r="S19" s="1710"/>
      <c r="T19" s="463"/>
    </row>
    <row r="20" spans="1:96" ht="13.5" customHeight="1">
      <c r="A20" s="236"/>
      <c r="B20" s="492"/>
      <c r="C20" s="236"/>
      <c r="D20" s="442"/>
      <c r="E20" s="236"/>
      <c r="F20" s="236"/>
      <c r="G20" s="236"/>
      <c r="H20" s="236"/>
      <c r="I20" s="236"/>
      <c r="J20" s="236"/>
      <c r="K20" s="236"/>
      <c r="M20" s="462"/>
      <c r="N20" s="891"/>
      <c r="O20" s="1162"/>
      <c r="P20" s="1710"/>
      <c r="Q20" s="1710"/>
      <c r="R20" s="1710"/>
      <c r="S20" s="1710"/>
      <c r="T20" s="463"/>
    </row>
    <row r="21" spans="1:96" ht="15" customHeight="1">
      <c r="A21" s="236"/>
      <c r="B21" s="492"/>
      <c r="C21" s="236"/>
      <c r="D21" s="442"/>
      <c r="E21" s="236"/>
      <c r="F21" s="236"/>
      <c r="G21" s="236"/>
      <c r="H21" s="236"/>
      <c r="I21" s="236"/>
      <c r="J21" s="236"/>
      <c r="K21" s="236"/>
      <c r="M21" s="462"/>
      <c r="N21" s="891"/>
      <c r="O21" s="1164"/>
      <c r="P21" s="1165" t="s">
        <v>2082</v>
      </c>
      <c r="Q21" s="1165"/>
      <c r="R21" s="1165"/>
      <c r="S21" s="1161"/>
      <c r="T21" s="463"/>
    </row>
    <row r="22" spans="1:96" ht="16.5" customHeight="1">
      <c r="A22" s="236"/>
      <c r="B22" s="492"/>
      <c r="C22" s="236"/>
      <c r="D22" s="442"/>
      <c r="E22" s="236"/>
      <c r="F22" s="236"/>
      <c r="G22" s="236"/>
      <c r="H22" s="236"/>
      <c r="I22" s="236"/>
      <c r="J22" s="236"/>
      <c r="K22" s="236"/>
      <c r="M22" s="462"/>
      <c r="N22" s="891"/>
      <c r="O22" s="891"/>
      <c r="P22" s="1166" t="s">
        <v>2518</v>
      </c>
      <c r="Q22" s="1166"/>
      <c r="R22" s="1166"/>
      <c r="S22" s="1160"/>
      <c r="T22" s="463"/>
      <c r="U22" s="1021"/>
    </row>
    <row r="23" spans="1:96" ht="40.5" customHeight="1">
      <c r="A23" s="236"/>
      <c r="B23" s="492"/>
      <c r="C23" s="236"/>
      <c r="D23" s="442"/>
      <c r="E23" s="236"/>
      <c r="F23" s="236"/>
      <c r="G23" s="236"/>
      <c r="H23" s="236"/>
      <c r="I23" s="236"/>
      <c r="J23" s="236"/>
      <c r="K23" s="236"/>
      <c r="M23" s="462"/>
      <c r="N23" s="891"/>
      <c r="O23" s="891"/>
      <c r="P23" s="1692" t="s">
        <v>2545</v>
      </c>
      <c r="Q23" s="1692"/>
      <c r="R23" s="1692"/>
      <c r="S23" s="1692"/>
      <c r="T23" s="463"/>
    </row>
    <row r="24" spans="1:96" ht="30.75" customHeight="1" thickBot="1">
      <c r="A24" s="236"/>
      <c r="B24" s="492"/>
      <c r="C24" s="236"/>
      <c r="D24" s="442"/>
      <c r="E24" s="236"/>
      <c r="F24" s="236"/>
      <c r="G24" s="236"/>
      <c r="H24" s="236"/>
      <c r="I24" s="236"/>
      <c r="J24" s="236"/>
      <c r="K24" s="236"/>
      <c r="M24" s="464"/>
      <c r="N24" s="893"/>
      <c r="O24" s="893"/>
      <c r="P24" s="1682"/>
      <c r="Q24" s="1682"/>
      <c r="R24" s="1682"/>
      <c r="S24" s="893"/>
      <c r="T24" s="466"/>
    </row>
    <row r="25" spans="1:96" ht="12.75" customHeight="1">
      <c r="A25" s="236"/>
      <c r="B25" s="492"/>
      <c r="C25" s="236"/>
      <c r="D25" s="442"/>
      <c r="E25" s="236"/>
      <c r="F25" s="236"/>
      <c r="G25" s="236"/>
      <c r="H25" s="236"/>
      <c r="I25" s="236"/>
      <c r="J25" s="236"/>
      <c r="K25" s="236"/>
    </row>
    <row r="26" spans="1:96" ht="15" customHeight="1">
      <c r="A26" s="236"/>
      <c r="B26" s="492"/>
      <c r="C26" s="236"/>
      <c r="D26" s="442"/>
      <c r="E26" s="236"/>
      <c r="F26" s="236"/>
      <c r="G26" s="236"/>
      <c r="H26" s="236"/>
      <c r="I26" s="236"/>
      <c r="J26" s="236"/>
      <c r="K26" s="236"/>
    </row>
    <row r="27" spans="1:96" ht="15" customHeight="1">
      <c r="A27" s="236"/>
      <c r="B27" s="492"/>
      <c r="C27" s="236"/>
      <c r="D27" s="442"/>
      <c r="E27" s="236"/>
      <c r="F27" s="236"/>
      <c r="G27" s="236"/>
      <c r="H27" s="236"/>
      <c r="I27" s="236"/>
      <c r="J27" s="236"/>
      <c r="K27" s="236"/>
    </row>
    <row r="28" spans="1:96" ht="15" customHeight="1">
      <c r="A28" s="236"/>
      <c r="B28" s="492"/>
      <c r="C28" s="236"/>
      <c r="D28" s="442"/>
      <c r="E28" s="236"/>
      <c r="F28" s="236"/>
      <c r="G28" s="236"/>
      <c r="H28" s="236"/>
      <c r="I28" s="236"/>
      <c r="J28" s="236"/>
      <c r="K28" s="236"/>
    </row>
    <row r="29" spans="1:96" ht="12.75" customHeight="1">
      <c r="A29" s="236"/>
      <c r="B29" s="492"/>
      <c r="C29" s="236"/>
      <c r="D29" s="442"/>
      <c r="E29" s="236"/>
      <c r="F29" s="236"/>
      <c r="G29" s="236"/>
      <c r="H29" s="236"/>
      <c r="I29" s="236"/>
      <c r="J29" s="236"/>
      <c r="K29" s="236"/>
      <c r="N29" s="247"/>
      <c r="O29" s="247"/>
      <c r="P29" s="272"/>
      <c r="Q29" s="1711"/>
      <c r="R29" s="1712"/>
      <c r="S29" s="1712"/>
      <c r="T29" s="247"/>
    </row>
    <row r="30" spans="1:96" ht="15.75" thickBot="1">
      <c r="A30" s="236"/>
      <c r="B30" s="492"/>
      <c r="C30" s="236"/>
      <c r="D30" s="442"/>
      <c r="E30" s="236"/>
      <c r="F30" s="236"/>
      <c r="G30" s="236"/>
      <c r="H30" s="236"/>
      <c r="I30" s="236"/>
      <c r="J30" s="236"/>
      <c r="K30" s="236"/>
      <c r="N30" s="247"/>
      <c r="O30" s="247"/>
      <c r="P30" s="247"/>
      <c r="Q30" s="247"/>
      <c r="R30" s="247"/>
      <c r="S30" s="247"/>
      <c r="T30" s="247"/>
    </row>
    <row r="31" spans="1:96" ht="41.25" customHeight="1">
      <c r="A31" s="236"/>
      <c r="B31" s="492"/>
      <c r="C31" s="913"/>
      <c r="D31" s="914"/>
      <c r="E31" s="914"/>
      <c r="F31" s="914"/>
      <c r="G31" s="914"/>
      <c r="H31" s="914"/>
      <c r="I31" s="914"/>
      <c r="J31" s="915"/>
      <c r="K31" s="236"/>
      <c r="M31" s="1704" t="s">
        <v>1715</v>
      </c>
      <c r="N31" s="1705"/>
      <c r="O31" s="1705"/>
      <c r="P31" s="1705"/>
      <c r="Q31" s="1705"/>
      <c r="R31" s="1705"/>
      <c r="S31" s="1705"/>
      <c r="T31" s="1706"/>
    </row>
    <row r="32" spans="1:96" s="1023" customFormat="1" ht="27.75" customHeight="1">
      <c r="A32" s="1022"/>
      <c r="B32" s="492"/>
      <c r="C32" s="1701" t="s">
        <v>1137</v>
      </c>
      <c r="D32" s="1702"/>
      <c r="E32" s="1702"/>
      <c r="F32" s="1702"/>
      <c r="G32" s="1702"/>
      <c r="H32" s="1702"/>
      <c r="I32" s="1702"/>
      <c r="J32" s="1703"/>
      <c r="K32" s="468"/>
      <c r="L32" s="1021"/>
      <c r="M32" s="1707"/>
      <c r="N32" s="1708"/>
      <c r="O32" s="1708"/>
      <c r="P32" s="1708"/>
      <c r="Q32" s="1708"/>
      <c r="R32" s="1708"/>
      <c r="S32" s="1708"/>
      <c r="T32" s="1709"/>
      <c r="U32" s="1021"/>
      <c r="V32" s="1021"/>
      <c r="W32" s="1021"/>
      <c r="X32" s="1021"/>
      <c r="Y32" s="1021"/>
      <c r="Z32" s="1021"/>
      <c r="AA32" s="1021"/>
      <c r="AB32" s="1021"/>
      <c r="AC32" s="1021"/>
      <c r="AD32" s="1021"/>
      <c r="AE32" s="1021"/>
      <c r="AF32" s="1021"/>
      <c r="AG32" s="1021"/>
      <c r="AH32" s="1021"/>
      <c r="AI32" s="1021"/>
      <c r="AJ32" s="1021"/>
      <c r="AK32" s="1021"/>
      <c r="AL32" s="1021"/>
      <c r="AM32" s="1021"/>
      <c r="AN32" s="1021"/>
      <c r="AO32" s="1021"/>
      <c r="AP32" s="1021"/>
      <c r="AQ32" s="1021"/>
      <c r="AR32" s="1021"/>
      <c r="AS32" s="1021"/>
      <c r="AT32" s="1021"/>
      <c r="AU32" s="1021"/>
      <c r="AV32" s="1021"/>
      <c r="AW32" s="1021"/>
      <c r="AX32" s="1021"/>
      <c r="AY32" s="1021"/>
      <c r="AZ32" s="1021"/>
      <c r="BA32" s="1021"/>
      <c r="BB32" s="1021"/>
      <c r="BC32" s="1021"/>
      <c r="BD32" s="1021"/>
      <c r="BE32" s="1021"/>
      <c r="BF32" s="1021"/>
      <c r="BG32" s="1021"/>
      <c r="BH32" s="1021"/>
      <c r="BI32" s="1021"/>
      <c r="BJ32" s="1021"/>
      <c r="BK32" s="1021"/>
      <c r="BL32" s="1021"/>
      <c r="BM32" s="1021"/>
      <c r="BN32" s="1021"/>
      <c r="BO32" s="1021"/>
      <c r="BP32" s="1021"/>
      <c r="BQ32" s="1021"/>
      <c r="BR32" s="1021"/>
      <c r="BS32" s="1021"/>
      <c r="BT32" s="1021"/>
      <c r="BU32" s="1021"/>
      <c r="BV32" s="1021"/>
      <c r="BW32" s="1021"/>
      <c r="BX32" s="1021"/>
      <c r="BY32" s="1021"/>
      <c r="BZ32" s="1021"/>
      <c r="CA32" s="1021"/>
      <c r="CB32" s="1021"/>
      <c r="CC32" s="1021"/>
      <c r="CD32" s="1021"/>
      <c r="CE32" s="1021"/>
      <c r="CF32" s="1021"/>
      <c r="CG32" s="1021"/>
      <c r="CH32" s="1021"/>
      <c r="CI32" s="1021"/>
      <c r="CJ32" s="1021"/>
      <c r="CK32" s="1021"/>
      <c r="CL32" s="1021"/>
      <c r="CM32" s="1021"/>
      <c r="CN32" s="1021"/>
      <c r="CO32" s="1021"/>
      <c r="CP32" s="1021"/>
      <c r="CQ32" s="1021"/>
      <c r="CR32" s="1021"/>
    </row>
    <row r="33" spans="1:96" s="1025" customFormat="1" ht="27" customHeight="1">
      <c r="A33" s="1022"/>
      <c r="B33" s="444"/>
      <c r="C33" s="1696" t="s">
        <v>1138</v>
      </c>
      <c r="D33" s="1697"/>
      <c r="E33" s="1697"/>
      <c r="F33" s="1697"/>
      <c r="G33" s="1697"/>
      <c r="H33" s="1697"/>
      <c r="I33" s="1697"/>
      <c r="J33" s="1698"/>
      <c r="K33" s="469"/>
      <c r="L33" s="1024"/>
      <c r="M33" s="1707"/>
      <c r="N33" s="1708"/>
      <c r="O33" s="1708"/>
      <c r="P33" s="1708"/>
      <c r="Q33" s="1708"/>
      <c r="R33" s="1708"/>
      <c r="S33" s="1708"/>
      <c r="T33" s="1709"/>
      <c r="U33" s="1024"/>
      <c r="V33" s="1024"/>
      <c r="W33" s="1024"/>
      <c r="X33" s="1024"/>
      <c r="Y33" s="1024"/>
      <c r="Z33" s="1024"/>
      <c r="AA33" s="1024"/>
      <c r="AB33" s="1024"/>
      <c r="AC33" s="1024"/>
      <c r="AD33" s="1024"/>
      <c r="AE33" s="1024"/>
      <c r="AF33" s="1024"/>
      <c r="AG33" s="1024"/>
      <c r="AH33" s="1024"/>
      <c r="AI33" s="1024"/>
      <c r="AJ33" s="1024"/>
      <c r="AK33" s="1024"/>
      <c r="AL33" s="1024"/>
      <c r="AM33" s="1024"/>
      <c r="AN33" s="1024"/>
      <c r="AO33" s="1024"/>
      <c r="AP33" s="1024"/>
      <c r="AQ33" s="1024"/>
      <c r="AR33" s="1024"/>
      <c r="AS33" s="1024"/>
      <c r="AT33" s="1024"/>
      <c r="AU33" s="1024"/>
      <c r="AV33" s="1024"/>
      <c r="AW33" s="1024"/>
      <c r="AX33" s="1024"/>
      <c r="AY33" s="1024"/>
      <c r="AZ33" s="1024"/>
      <c r="BA33" s="1024"/>
      <c r="BB33" s="1024"/>
      <c r="BC33" s="1024"/>
      <c r="BD33" s="1024"/>
      <c r="BE33" s="1024"/>
      <c r="BF33" s="1024"/>
      <c r="BG33" s="1024"/>
      <c r="BH33" s="1024"/>
      <c r="BI33" s="1024"/>
      <c r="BJ33" s="1024"/>
      <c r="BK33" s="1024"/>
      <c r="BL33" s="1024"/>
      <c r="BM33" s="1024"/>
      <c r="BN33" s="1024"/>
      <c r="BO33" s="1024"/>
      <c r="BP33" s="1024"/>
      <c r="BQ33" s="1024"/>
      <c r="BR33" s="1024"/>
      <c r="BS33" s="1024"/>
      <c r="BT33" s="1024"/>
      <c r="BU33" s="1024"/>
      <c r="BV33" s="1024"/>
      <c r="BW33" s="1024"/>
      <c r="BX33" s="1024"/>
      <c r="BY33" s="1024"/>
      <c r="BZ33" s="1024"/>
      <c r="CA33" s="1024"/>
      <c r="CB33" s="1024"/>
      <c r="CC33" s="1024"/>
      <c r="CD33" s="1024"/>
      <c r="CE33" s="1024"/>
      <c r="CF33" s="1024"/>
      <c r="CG33" s="1024"/>
      <c r="CH33" s="1024"/>
      <c r="CI33" s="1024"/>
      <c r="CJ33" s="1024"/>
      <c r="CK33" s="1024"/>
      <c r="CL33" s="1024"/>
      <c r="CM33" s="1024"/>
      <c r="CN33" s="1024"/>
      <c r="CO33" s="1024"/>
      <c r="CP33" s="1024"/>
      <c r="CQ33" s="1024"/>
      <c r="CR33" s="1024"/>
    </row>
    <row r="34" spans="1:96" s="1025" customFormat="1" ht="24.75" customHeight="1">
      <c r="A34" s="1022"/>
      <c r="B34" s="444"/>
      <c r="C34" s="1687" t="s">
        <v>2653</v>
      </c>
      <c r="D34" s="1688"/>
      <c r="E34" s="1688"/>
      <c r="F34" s="1688"/>
      <c r="G34" s="1688"/>
      <c r="H34" s="1688"/>
      <c r="I34" s="1688"/>
      <c r="J34" s="1689"/>
      <c r="K34" s="470"/>
      <c r="L34" s="1024"/>
      <c r="M34" s="1707"/>
      <c r="N34" s="1708"/>
      <c r="O34" s="1708"/>
      <c r="P34" s="1708"/>
      <c r="Q34" s="1708"/>
      <c r="R34" s="1708"/>
      <c r="S34" s="1708"/>
      <c r="T34" s="1709"/>
      <c r="U34" s="1024"/>
      <c r="V34" s="1024"/>
      <c r="W34" s="1024"/>
      <c r="X34" s="1024"/>
      <c r="Y34" s="1024"/>
      <c r="Z34" s="1024"/>
      <c r="AA34" s="1024"/>
      <c r="AB34" s="1024"/>
      <c r="AC34" s="1024"/>
      <c r="AD34" s="1024"/>
      <c r="AE34" s="1024"/>
      <c r="AF34" s="1024"/>
      <c r="AG34" s="1024"/>
      <c r="AH34" s="1024"/>
      <c r="AI34" s="1024"/>
      <c r="AJ34" s="1024"/>
      <c r="AK34" s="1024"/>
      <c r="AL34" s="1024"/>
      <c r="AM34" s="1024"/>
      <c r="AN34" s="1024"/>
      <c r="AO34" s="1024"/>
      <c r="AP34" s="1024"/>
      <c r="AQ34" s="1024"/>
      <c r="AR34" s="1024"/>
      <c r="AS34" s="1024"/>
      <c r="AT34" s="1024"/>
      <c r="AU34" s="1024"/>
      <c r="AV34" s="1024"/>
      <c r="AW34" s="1024"/>
      <c r="AX34" s="1024"/>
      <c r="AY34" s="1024"/>
      <c r="AZ34" s="1024"/>
      <c r="BA34" s="1024"/>
      <c r="BB34" s="1024"/>
      <c r="BC34" s="1024"/>
      <c r="BD34" s="1024"/>
      <c r="BE34" s="1024"/>
      <c r="BF34" s="1024"/>
      <c r="BG34" s="1024"/>
      <c r="BH34" s="1024"/>
      <c r="BI34" s="1024"/>
      <c r="BJ34" s="1024"/>
      <c r="BK34" s="1024"/>
      <c r="BL34" s="1024"/>
      <c r="BM34" s="1024"/>
      <c r="BN34" s="1024"/>
      <c r="BO34" s="1024"/>
      <c r="BP34" s="1024"/>
      <c r="BQ34" s="1024"/>
      <c r="BR34" s="1024"/>
      <c r="BS34" s="1024"/>
      <c r="BT34" s="1024"/>
      <c r="BU34" s="1024"/>
      <c r="BV34" s="1024"/>
      <c r="BW34" s="1024"/>
      <c r="BX34" s="1024"/>
      <c r="BY34" s="1024"/>
      <c r="BZ34" s="1024"/>
      <c r="CA34" s="1024"/>
      <c r="CB34" s="1024"/>
      <c r="CC34" s="1024"/>
      <c r="CD34" s="1024"/>
      <c r="CE34" s="1024"/>
      <c r="CF34" s="1024"/>
      <c r="CG34" s="1024"/>
      <c r="CH34" s="1024"/>
      <c r="CI34" s="1024"/>
      <c r="CJ34" s="1024"/>
      <c r="CK34" s="1024"/>
      <c r="CL34" s="1024"/>
      <c r="CM34" s="1024"/>
      <c r="CN34" s="1024"/>
      <c r="CO34" s="1024"/>
      <c r="CP34" s="1024"/>
      <c r="CQ34" s="1024"/>
      <c r="CR34" s="1024"/>
    </row>
    <row r="35" spans="1:96" s="250" customFormat="1" ht="24" customHeight="1">
      <c r="A35" s="236"/>
      <c r="B35" s="441"/>
      <c r="C35" s="904"/>
      <c r="D35" s="905"/>
      <c r="E35" s="905"/>
      <c r="F35" s="905"/>
      <c r="G35" s="905"/>
      <c r="H35" s="905"/>
      <c r="I35" s="905"/>
      <c r="J35" s="906"/>
      <c r="K35" s="458"/>
      <c r="L35" s="247"/>
      <c r="M35" s="894"/>
      <c r="N35" s="895"/>
      <c r="O35" s="1676" t="s">
        <v>1990</v>
      </c>
      <c r="P35" s="1690"/>
      <c r="Q35" s="1690"/>
      <c r="R35" s="1690"/>
      <c r="S35" s="1690"/>
      <c r="T35" s="1691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  <c r="BJ35" s="247"/>
      <c r="BK35" s="247"/>
      <c r="BL35" s="247"/>
      <c r="BM35" s="247"/>
      <c r="BN35" s="247"/>
      <c r="BO35" s="247"/>
      <c r="BP35" s="247"/>
      <c r="BQ35" s="247"/>
      <c r="BR35" s="247"/>
      <c r="BS35" s="247"/>
      <c r="BT35" s="247"/>
      <c r="BU35" s="247"/>
      <c r="BV35" s="247"/>
      <c r="BW35" s="247"/>
      <c r="BX35" s="247"/>
      <c r="BY35" s="247"/>
      <c r="BZ35" s="247"/>
      <c r="CA35" s="247"/>
      <c r="CB35" s="247"/>
      <c r="CC35" s="247"/>
      <c r="CD35" s="247"/>
      <c r="CE35" s="247"/>
      <c r="CF35" s="247"/>
      <c r="CG35" s="247"/>
      <c r="CH35" s="247"/>
      <c r="CI35" s="247"/>
      <c r="CJ35" s="247"/>
      <c r="CK35" s="247"/>
      <c r="CL35" s="247"/>
      <c r="CM35" s="247"/>
      <c r="CN35" s="247"/>
      <c r="CO35" s="247"/>
      <c r="CP35" s="247"/>
      <c r="CQ35" s="247"/>
      <c r="CR35" s="247"/>
    </row>
    <row r="36" spans="1:96" s="246" customFormat="1" ht="20.25" customHeight="1">
      <c r="B36" s="1026"/>
      <c r="C36" s="907"/>
      <c r="D36" s="908"/>
      <c r="E36" s="908"/>
      <c r="F36" s="908"/>
      <c r="G36" s="908"/>
      <c r="H36" s="908"/>
      <c r="I36" s="908"/>
      <c r="J36" s="909"/>
      <c r="K36" s="467"/>
      <c r="M36" s="896"/>
      <c r="N36" s="897"/>
      <c r="O36" s="1679" t="s">
        <v>1106</v>
      </c>
      <c r="P36" s="1679"/>
      <c r="Q36" s="1679"/>
      <c r="R36" s="1167"/>
      <c r="S36" s="1167"/>
      <c r="T36" s="1168"/>
    </row>
    <row r="37" spans="1:96" s="246" customFormat="1" ht="19.5" customHeight="1">
      <c r="B37" s="1026"/>
      <c r="C37" s="907"/>
      <c r="D37" s="908"/>
      <c r="E37" s="908"/>
      <c r="F37" s="908"/>
      <c r="G37" s="908"/>
      <c r="H37" s="908"/>
      <c r="I37" s="908"/>
      <c r="J37" s="909"/>
      <c r="K37" s="467"/>
      <c r="M37" s="896"/>
      <c r="N37" s="897"/>
      <c r="O37" s="1679" t="s">
        <v>1052</v>
      </c>
      <c r="P37" s="1679"/>
      <c r="Q37" s="1679"/>
      <c r="R37" s="1159"/>
      <c r="S37" s="1169"/>
      <c r="T37" s="1170"/>
    </row>
    <row r="38" spans="1:96" s="246" customFormat="1" ht="17.25" customHeight="1">
      <c r="B38" s="1026"/>
      <c r="C38" s="907"/>
      <c r="D38" s="908"/>
      <c r="E38" s="908"/>
      <c r="F38" s="908"/>
      <c r="G38" s="908"/>
      <c r="H38" s="908"/>
      <c r="I38" s="908"/>
      <c r="J38" s="909"/>
      <c r="K38" s="467"/>
      <c r="M38" s="896"/>
      <c r="N38" s="892"/>
      <c r="O38" s="1679" t="s">
        <v>1053</v>
      </c>
      <c r="P38" s="1679"/>
      <c r="Q38" s="1679"/>
      <c r="R38" s="1159"/>
      <c r="S38" s="1159"/>
      <c r="T38" s="1170"/>
    </row>
    <row r="39" spans="1:96" s="246" customFormat="1" ht="17.25" customHeight="1">
      <c r="B39" s="1026"/>
      <c r="C39" s="907"/>
      <c r="D39" s="908"/>
      <c r="E39" s="908"/>
      <c r="F39" s="908"/>
      <c r="G39" s="908"/>
      <c r="H39" s="908"/>
      <c r="I39" s="908"/>
      <c r="J39" s="909"/>
      <c r="K39" s="467"/>
      <c r="M39" s="899"/>
      <c r="N39" s="892"/>
      <c r="O39" s="1679" t="s">
        <v>1716</v>
      </c>
      <c r="P39" s="1679"/>
      <c r="Q39" s="1679"/>
      <c r="R39" s="1159"/>
      <c r="S39" s="1159"/>
      <c r="T39" s="1170"/>
    </row>
    <row r="40" spans="1:96" s="246" customFormat="1" ht="24.75" customHeight="1">
      <c r="B40" s="1026"/>
      <c r="C40" s="907"/>
      <c r="D40" s="908"/>
      <c r="E40" s="908"/>
      <c r="F40" s="908"/>
      <c r="G40" s="908"/>
      <c r="H40" s="908"/>
      <c r="I40" s="908"/>
      <c r="J40" s="909"/>
      <c r="K40" s="467"/>
      <c r="M40" s="899"/>
      <c r="N40" s="892"/>
      <c r="O40" s="1684" t="s">
        <v>2050</v>
      </c>
      <c r="P40" s="1684"/>
      <c r="Q40" s="1684"/>
      <c r="R40" s="1684"/>
      <c r="S40" s="1684"/>
      <c r="T40" s="898"/>
    </row>
    <row r="41" spans="1:96" s="246" customFormat="1" ht="15.75" customHeight="1">
      <c r="B41" s="1026"/>
      <c r="C41" s="916"/>
      <c r="D41" s="917"/>
      <c r="E41" s="917"/>
      <c r="F41" s="917"/>
      <c r="G41" s="917"/>
      <c r="H41" s="917"/>
      <c r="I41" s="917"/>
      <c r="J41" s="918"/>
      <c r="K41" s="467"/>
      <c r="M41" s="899"/>
      <c r="N41" s="892"/>
      <c r="O41" s="1680" t="s">
        <v>1991</v>
      </c>
      <c r="P41" s="1680"/>
      <c r="Q41" s="1680"/>
      <c r="R41" s="892"/>
      <c r="S41" s="892"/>
      <c r="T41" s="898"/>
    </row>
    <row r="42" spans="1:96" s="246" customFormat="1" ht="18" customHeight="1">
      <c r="B42" s="1026"/>
      <c r="C42" s="1693" t="s">
        <v>2554</v>
      </c>
      <c r="D42" s="1694"/>
      <c r="E42" s="1694"/>
      <c r="F42" s="1694"/>
      <c r="G42" s="1694"/>
      <c r="H42" s="1694"/>
      <c r="I42" s="1694"/>
      <c r="J42" s="1695"/>
      <c r="K42" s="471"/>
      <c r="M42" s="899"/>
      <c r="N42" s="892"/>
      <c r="O42" s="1680" t="s">
        <v>1052</v>
      </c>
      <c r="P42" s="1680"/>
      <c r="Q42" s="1680"/>
      <c r="R42" s="900"/>
      <c r="S42" s="892"/>
      <c r="T42" s="898"/>
    </row>
    <row r="43" spans="1:96" s="246" customFormat="1" ht="18.75" customHeight="1">
      <c r="B43" s="1026"/>
      <c r="C43" s="1693" t="s">
        <v>1136</v>
      </c>
      <c r="D43" s="1694"/>
      <c r="E43" s="1694"/>
      <c r="F43" s="1694"/>
      <c r="G43" s="1694"/>
      <c r="H43" s="1694"/>
      <c r="I43" s="1694"/>
      <c r="J43" s="1695"/>
      <c r="K43" s="471"/>
      <c r="M43" s="896"/>
      <c r="N43" s="897"/>
      <c r="O43" s="1680" t="s">
        <v>1053</v>
      </c>
      <c r="P43" s="1680"/>
      <c r="Q43" s="1680"/>
      <c r="R43" s="897"/>
      <c r="S43" s="897"/>
      <c r="T43" s="898"/>
    </row>
    <row r="44" spans="1:96" s="246" customFormat="1" ht="14.25" customHeight="1">
      <c r="B44" s="1026"/>
      <c r="C44" s="919"/>
      <c r="D44" s="920"/>
      <c r="E44" s="920"/>
      <c r="F44" s="920"/>
      <c r="G44" s="920"/>
      <c r="H44" s="920"/>
      <c r="I44" s="920"/>
      <c r="J44" s="921"/>
      <c r="K44" s="247"/>
      <c r="M44" s="896"/>
      <c r="N44" s="897"/>
      <c r="O44" s="1680" t="s">
        <v>1992</v>
      </c>
      <c r="P44" s="1680"/>
      <c r="Q44" s="1680"/>
      <c r="R44" s="897"/>
      <c r="S44" s="897"/>
      <c r="T44" s="898"/>
    </row>
    <row r="45" spans="1:96" s="246" customFormat="1" ht="14.25" customHeight="1">
      <c r="B45" s="1026"/>
      <c r="C45" s="919"/>
      <c r="D45" s="920"/>
      <c r="E45" s="920"/>
      <c r="F45" s="920"/>
      <c r="G45" s="920"/>
      <c r="H45" s="920"/>
      <c r="I45" s="920"/>
      <c r="J45" s="921"/>
      <c r="K45" s="247"/>
      <c r="M45" s="896"/>
      <c r="N45" s="897"/>
      <c r="O45" s="1171"/>
      <c r="P45" s="1171"/>
      <c r="Q45" s="1171"/>
      <c r="R45" s="897"/>
      <c r="S45" s="897"/>
      <c r="T45" s="898"/>
    </row>
    <row r="46" spans="1:96" s="246" customFormat="1" ht="16.5" customHeight="1">
      <c r="B46" s="1026"/>
      <c r="C46" s="919"/>
      <c r="D46" s="920"/>
      <c r="E46" s="920"/>
      <c r="F46" s="920"/>
      <c r="G46" s="920"/>
      <c r="H46" s="920"/>
      <c r="I46" s="920"/>
      <c r="J46" s="921"/>
      <c r="K46" s="247"/>
      <c r="M46" s="896"/>
      <c r="N46" s="897"/>
      <c r="O46" s="1676" t="s">
        <v>2084</v>
      </c>
      <c r="P46" s="1677"/>
      <c r="Q46" s="1677"/>
      <c r="R46" s="1677"/>
      <c r="S46" s="1677"/>
      <c r="T46" s="1678"/>
    </row>
    <row r="47" spans="1:96" s="246" customFormat="1" ht="14.25" customHeight="1">
      <c r="B47" s="1026"/>
      <c r="C47" s="919"/>
      <c r="D47" s="920"/>
      <c r="E47" s="920"/>
      <c r="F47" s="920"/>
      <c r="G47" s="920"/>
      <c r="H47" s="920"/>
      <c r="I47" s="920"/>
      <c r="J47" s="921"/>
      <c r="K47" s="247"/>
      <c r="M47" s="896"/>
      <c r="N47" s="897"/>
      <c r="O47" s="1679" t="s">
        <v>2519</v>
      </c>
      <c r="P47" s="1679"/>
      <c r="Q47" s="1679"/>
      <c r="R47" s="897"/>
      <c r="S47" s="897"/>
      <c r="T47" s="898"/>
    </row>
    <row r="48" spans="1:96" s="246" customFormat="1" ht="18.75" customHeight="1">
      <c r="B48" s="1026"/>
      <c r="C48" s="919"/>
      <c r="D48" s="920"/>
      <c r="E48" s="920"/>
      <c r="F48" s="920"/>
      <c r="G48" s="920"/>
      <c r="H48" s="920"/>
      <c r="I48" s="920"/>
      <c r="J48" s="921"/>
      <c r="K48" s="247"/>
      <c r="M48" s="896"/>
      <c r="N48" s="897"/>
      <c r="O48" s="1679" t="s">
        <v>1052</v>
      </c>
      <c r="P48" s="1679"/>
      <c r="Q48" s="1679"/>
      <c r="R48" s="897"/>
      <c r="S48" s="897"/>
      <c r="T48" s="898"/>
    </row>
    <row r="49" spans="2:20" s="246" customFormat="1" ht="14.25" customHeight="1">
      <c r="B49" s="1026"/>
      <c r="C49" s="919"/>
      <c r="D49" s="920"/>
      <c r="E49" s="920"/>
      <c r="F49" s="920"/>
      <c r="G49" s="920"/>
      <c r="H49" s="920"/>
      <c r="I49" s="920"/>
      <c r="J49" s="921"/>
      <c r="K49" s="247"/>
      <c r="M49" s="896"/>
      <c r="N49" s="897"/>
      <c r="O49" s="1679" t="s">
        <v>1053</v>
      </c>
      <c r="P49" s="1679"/>
      <c r="Q49" s="1679"/>
      <c r="R49" s="897"/>
      <c r="S49" s="897"/>
      <c r="T49" s="898"/>
    </row>
    <row r="50" spans="2:20" s="246" customFormat="1" ht="14.25" customHeight="1">
      <c r="B50" s="1026"/>
      <c r="C50" s="919"/>
      <c r="D50" s="920"/>
      <c r="E50" s="920"/>
      <c r="F50" s="920"/>
      <c r="G50" s="920"/>
      <c r="H50" s="920"/>
      <c r="I50" s="920"/>
      <c r="J50" s="921"/>
      <c r="K50" s="247"/>
      <c r="M50" s="896"/>
      <c r="N50" s="897"/>
      <c r="O50" s="1680" t="s">
        <v>1992</v>
      </c>
      <c r="P50" s="1680"/>
      <c r="Q50" s="1680"/>
      <c r="R50" s="897"/>
      <c r="S50" s="897"/>
      <c r="T50" s="898"/>
    </row>
    <row r="51" spans="2:20" s="246" customFormat="1" ht="14.25" customHeight="1">
      <c r="B51" s="1026"/>
      <c r="C51" s="919"/>
      <c r="D51" s="920"/>
      <c r="E51" s="920"/>
      <c r="F51" s="920"/>
      <c r="G51" s="920"/>
      <c r="H51" s="920"/>
      <c r="I51" s="920"/>
      <c r="J51" s="921"/>
      <c r="K51" s="247"/>
      <c r="M51" s="896"/>
      <c r="N51" s="897"/>
      <c r="O51" s="1419"/>
      <c r="P51" s="1419"/>
      <c r="Q51" s="1419"/>
      <c r="R51" s="897"/>
      <c r="S51" s="897"/>
      <c r="T51" s="898"/>
    </row>
    <row r="52" spans="2:20" s="246" customFormat="1" ht="18.75" customHeight="1">
      <c r="B52" s="1026"/>
      <c r="C52" s="919"/>
      <c r="D52" s="920"/>
      <c r="E52" s="920"/>
      <c r="F52" s="920"/>
      <c r="G52" s="920"/>
      <c r="H52" s="920"/>
      <c r="I52" s="920"/>
      <c r="J52" s="921"/>
      <c r="K52" s="247"/>
      <c r="M52" s="896"/>
      <c r="N52" s="897"/>
      <c r="O52" s="1675" t="s">
        <v>2555</v>
      </c>
      <c r="P52" s="1675"/>
      <c r="Q52" s="1675"/>
      <c r="R52" s="1675"/>
      <c r="S52" s="1421"/>
      <c r="T52" s="898"/>
    </row>
    <row r="53" spans="2:20" s="246" customFormat="1" ht="16.5" customHeight="1">
      <c r="B53" s="1026"/>
      <c r="C53" s="919"/>
      <c r="D53" s="920"/>
      <c r="E53" s="920"/>
      <c r="F53" s="920"/>
      <c r="G53" s="920"/>
      <c r="H53" s="920"/>
      <c r="I53" s="920"/>
      <c r="J53" s="921"/>
      <c r="K53" s="247"/>
      <c r="M53" s="896"/>
      <c r="N53" s="897"/>
      <c r="O53" s="1421" t="s">
        <v>2556</v>
      </c>
      <c r="P53" s="1421"/>
      <c r="Q53" s="1421"/>
      <c r="R53" s="1421"/>
      <c r="S53" s="1421"/>
      <c r="T53" s="898"/>
    </row>
    <row r="54" spans="2:20" s="246" customFormat="1" ht="16.5" customHeight="1">
      <c r="B54" s="1026"/>
      <c r="C54" s="919"/>
      <c r="D54" s="920"/>
      <c r="E54" s="920"/>
      <c r="F54" s="920"/>
      <c r="G54" s="920"/>
      <c r="H54" s="920"/>
      <c r="I54" s="920"/>
      <c r="J54" s="921"/>
      <c r="K54" s="247"/>
      <c r="M54" s="896"/>
      <c r="N54" s="897"/>
      <c r="O54" s="1421" t="s">
        <v>1052</v>
      </c>
      <c r="P54" s="1421"/>
      <c r="Q54" s="1421"/>
      <c r="R54" s="1421"/>
      <c r="S54" s="1421"/>
      <c r="T54" s="898"/>
    </row>
    <row r="55" spans="2:20" s="246" customFormat="1" ht="16.5" customHeight="1">
      <c r="B55" s="1026"/>
      <c r="C55" s="919"/>
      <c r="D55" s="920"/>
      <c r="E55" s="920"/>
      <c r="F55" s="920"/>
      <c r="G55" s="920"/>
      <c r="H55" s="920"/>
      <c r="I55" s="920"/>
      <c r="J55" s="921"/>
      <c r="K55" s="247"/>
      <c r="M55" s="896"/>
      <c r="N55" s="897"/>
      <c r="O55" s="1421" t="s">
        <v>1053</v>
      </c>
      <c r="P55" s="1421"/>
      <c r="Q55" s="1421"/>
      <c r="R55" s="1421"/>
      <c r="S55" s="1421"/>
      <c r="T55" s="898"/>
    </row>
    <row r="56" spans="2:20" s="246" customFormat="1" ht="24" customHeight="1" thickBot="1">
      <c r="B56" s="1026"/>
      <c r="C56" s="464"/>
      <c r="D56" s="465"/>
      <c r="E56" s="465"/>
      <c r="F56" s="465"/>
      <c r="G56" s="465"/>
      <c r="H56" s="465"/>
      <c r="I56" s="465"/>
      <c r="J56" s="466"/>
      <c r="K56" s="247"/>
      <c r="M56" s="901"/>
      <c r="N56" s="902"/>
      <c r="O56" s="1422" t="s">
        <v>1992</v>
      </c>
      <c r="P56" s="1422"/>
      <c r="Q56" s="1422"/>
      <c r="R56" s="1422"/>
      <c r="S56" s="1422"/>
      <c r="T56" s="903"/>
    </row>
    <row r="57" spans="2:20" s="246" customFormat="1">
      <c r="B57" s="1026"/>
      <c r="C57" s="247"/>
      <c r="D57" s="247"/>
      <c r="E57" s="247"/>
      <c r="F57" s="247"/>
      <c r="G57" s="247"/>
      <c r="H57" s="247"/>
      <c r="I57" s="247"/>
      <c r="J57" s="247"/>
      <c r="K57" s="247"/>
    </row>
    <row r="58" spans="2:20" s="246" customFormat="1">
      <c r="B58" s="1026"/>
    </row>
    <row r="59" spans="2:20" s="246" customFormat="1">
      <c r="B59" s="1026"/>
    </row>
    <row r="60" spans="2:20" s="246" customFormat="1">
      <c r="B60" s="1026"/>
    </row>
    <row r="61" spans="2:20" s="246" customFormat="1">
      <c r="B61" s="1026"/>
    </row>
    <row r="62" spans="2:20" s="246" customFormat="1">
      <c r="B62" s="1026"/>
    </row>
    <row r="63" spans="2:20" s="246" customFormat="1">
      <c r="B63" s="1026"/>
    </row>
    <row r="64" spans="2:20" s="246" customFormat="1">
      <c r="B64" s="1026"/>
    </row>
    <row r="65" spans="2:2" s="246" customFormat="1">
      <c r="B65" s="1026"/>
    </row>
    <row r="66" spans="2:2" s="246" customFormat="1">
      <c r="B66" s="1026"/>
    </row>
    <row r="67" spans="2:2" s="246" customFormat="1">
      <c r="B67" s="1026"/>
    </row>
    <row r="68" spans="2:2" s="246" customFormat="1">
      <c r="B68" s="1026"/>
    </row>
    <row r="69" spans="2:2" s="246" customFormat="1">
      <c r="B69" s="1026"/>
    </row>
    <row r="70" spans="2:2" s="246" customFormat="1">
      <c r="B70" s="1026"/>
    </row>
    <row r="71" spans="2:2" s="246" customFormat="1">
      <c r="B71" s="1026"/>
    </row>
    <row r="72" spans="2:2" s="246" customFormat="1">
      <c r="B72" s="1026"/>
    </row>
    <row r="73" spans="2:2" s="246" customFormat="1">
      <c r="B73" s="1026"/>
    </row>
    <row r="74" spans="2:2" s="246" customFormat="1">
      <c r="B74" s="1026"/>
    </row>
    <row r="75" spans="2:2" s="246" customFormat="1">
      <c r="B75" s="1026"/>
    </row>
    <row r="76" spans="2:2" s="246" customFormat="1">
      <c r="B76" s="1026"/>
    </row>
    <row r="77" spans="2:2" s="246" customFormat="1">
      <c r="B77" s="1026"/>
    </row>
    <row r="78" spans="2:2" s="246" customFormat="1">
      <c r="B78" s="1026"/>
    </row>
    <row r="79" spans="2:2" s="246" customFormat="1">
      <c r="B79" s="1026"/>
    </row>
    <row r="80" spans="2:2" s="246" customFormat="1">
      <c r="B80" s="1026"/>
    </row>
    <row r="81" spans="2:2" s="246" customFormat="1">
      <c r="B81" s="1026"/>
    </row>
    <row r="82" spans="2:2" s="246" customFormat="1">
      <c r="B82" s="1026"/>
    </row>
    <row r="83" spans="2:2" s="246" customFormat="1">
      <c r="B83" s="1026"/>
    </row>
    <row r="84" spans="2:2" s="246" customFormat="1">
      <c r="B84" s="1026"/>
    </row>
    <row r="85" spans="2:2" s="246" customFormat="1">
      <c r="B85" s="1026"/>
    </row>
    <row r="86" spans="2:2" s="246" customFormat="1">
      <c r="B86" s="1026"/>
    </row>
    <row r="87" spans="2:2" s="246" customFormat="1">
      <c r="B87" s="1026"/>
    </row>
    <row r="88" spans="2:2" s="246" customFormat="1">
      <c r="B88" s="1026"/>
    </row>
    <row r="89" spans="2:2" s="246" customFormat="1">
      <c r="B89" s="1026"/>
    </row>
    <row r="90" spans="2:2" s="246" customFormat="1">
      <c r="B90" s="1026"/>
    </row>
    <row r="91" spans="2:2" s="246" customFormat="1">
      <c r="B91" s="1026"/>
    </row>
    <row r="92" spans="2:2" s="246" customFormat="1">
      <c r="B92" s="1026"/>
    </row>
    <row r="93" spans="2:2" s="246" customFormat="1">
      <c r="B93" s="1026"/>
    </row>
    <row r="94" spans="2:2" s="246" customFormat="1">
      <c r="B94" s="1026"/>
    </row>
    <row r="95" spans="2:2" s="246" customFormat="1">
      <c r="B95" s="1026"/>
    </row>
    <row r="96" spans="2:2" s="246" customFormat="1">
      <c r="B96" s="1026"/>
    </row>
    <row r="97" spans="2:2" s="246" customFormat="1">
      <c r="B97" s="1026"/>
    </row>
    <row r="98" spans="2:2" s="246" customFormat="1">
      <c r="B98" s="1026"/>
    </row>
    <row r="99" spans="2:2" s="246" customFormat="1">
      <c r="B99" s="1026"/>
    </row>
    <row r="100" spans="2:2" s="246" customFormat="1">
      <c r="B100" s="1026"/>
    </row>
    <row r="101" spans="2:2" s="246" customFormat="1">
      <c r="B101" s="1026"/>
    </row>
    <row r="102" spans="2:2" s="246" customFormat="1">
      <c r="B102" s="1026"/>
    </row>
    <row r="103" spans="2:2" s="246" customFormat="1">
      <c r="B103" s="1026"/>
    </row>
    <row r="104" spans="2:2" s="246" customFormat="1">
      <c r="B104" s="1026"/>
    </row>
    <row r="105" spans="2:2" s="246" customFormat="1">
      <c r="B105" s="1026"/>
    </row>
    <row r="106" spans="2:2" s="246" customFormat="1">
      <c r="B106" s="1026"/>
    </row>
    <row r="107" spans="2:2" s="246" customFormat="1">
      <c r="B107" s="1026"/>
    </row>
    <row r="108" spans="2:2" s="246" customFormat="1">
      <c r="B108" s="1026"/>
    </row>
    <row r="109" spans="2:2" s="246" customFormat="1">
      <c r="B109" s="1026"/>
    </row>
    <row r="110" spans="2:2" s="246" customFormat="1">
      <c r="B110" s="1026"/>
    </row>
    <row r="111" spans="2:2" s="246" customFormat="1">
      <c r="B111" s="1026"/>
    </row>
    <row r="112" spans="2:2" s="246" customFormat="1">
      <c r="B112" s="1026"/>
    </row>
    <row r="113" spans="2:2" s="246" customFormat="1">
      <c r="B113" s="1026"/>
    </row>
    <row r="114" spans="2:2" s="246" customFormat="1">
      <c r="B114" s="1026"/>
    </row>
    <row r="115" spans="2:2" s="246" customFormat="1">
      <c r="B115" s="1026"/>
    </row>
    <row r="116" spans="2:2" s="246" customFormat="1">
      <c r="B116" s="1026"/>
    </row>
    <row r="117" spans="2:2" s="246" customFormat="1">
      <c r="B117" s="1026"/>
    </row>
    <row r="118" spans="2:2" s="246" customFormat="1">
      <c r="B118" s="1026"/>
    </row>
    <row r="119" spans="2:2" s="246" customFormat="1">
      <c r="B119" s="1026"/>
    </row>
    <row r="120" spans="2:2" s="246" customFormat="1">
      <c r="B120" s="1026"/>
    </row>
    <row r="121" spans="2:2" s="246" customFormat="1">
      <c r="B121" s="1026"/>
    </row>
    <row r="122" spans="2:2" s="246" customFormat="1">
      <c r="B122" s="1026"/>
    </row>
    <row r="123" spans="2:2" s="246" customFormat="1">
      <c r="B123" s="1026"/>
    </row>
    <row r="124" spans="2:2" s="246" customFormat="1">
      <c r="B124" s="1026"/>
    </row>
    <row r="125" spans="2:2" s="246" customFormat="1">
      <c r="B125" s="1026"/>
    </row>
    <row r="126" spans="2:2" s="246" customFormat="1">
      <c r="B126" s="1026"/>
    </row>
    <row r="127" spans="2:2" s="246" customFormat="1">
      <c r="B127" s="1026"/>
    </row>
    <row r="128" spans="2:2" s="246" customFormat="1">
      <c r="B128" s="1026"/>
    </row>
    <row r="129" spans="2:2" s="246" customFormat="1">
      <c r="B129" s="1026"/>
    </row>
    <row r="130" spans="2:2" s="246" customFormat="1">
      <c r="B130" s="1026"/>
    </row>
    <row r="131" spans="2:2" s="246" customFormat="1">
      <c r="B131" s="1026"/>
    </row>
    <row r="132" spans="2:2" s="246" customFormat="1">
      <c r="B132" s="1026"/>
    </row>
    <row r="133" spans="2:2" s="246" customFormat="1">
      <c r="B133" s="1026"/>
    </row>
    <row r="134" spans="2:2" s="246" customFormat="1">
      <c r="B134" s="1026"/>
    </row>
    <row r="135" spans="2:2" s="246" customFormat="1">
      <c r="B135" s="1026"/>
    </row>
    <row r="136" spans="2:2" s="246" customFormat="1">
      <c r="B136" s="1026"/>
    </row>
    <row r="137" spans="2:2" s="246" customFormat="1">
      <c r="B137" s="1026"/>
    </row>
    <row r="138" spans="2:2" s="246" customFormat="1">
      <c r="B138" s="1026"/>
    </row>
    <row r="139" spans="2:2" s="246" customFormat="1">
      <c r="B139" s="1026"/>
    </row>
    <row r="140" spans="2:2" s="246" customFormat="1">
      <c r="B140" s="1026"/>
    </row>
    <row r="141" spans="2:2" s="246" customFormat="1">
      <c r="B141" s="1026"/>
    </row>
    <row r="142" spans="2:2" s="246" customFormat="1">
      <c r="B142" s="1026"/>
    </row>
    <row r="143" spans="2:2" s="246" customFormat="1">
      <c r="B143" s="1026"/>
    </row>
    <row r="144" spans="2:2" s="246" customFormat="1">
      <c r="B144" s="1026"/>
    </row>
    <row r="145" spans="2:2" s="246" customFormat="1">
      <c r="B145" s="1026"/>
    </row>
    <row r="146" spans="2:2" s="246" customFormat="1">
      <c r="B146" s="1026"/>
    </row>
    <row r="147" spans="2:2" s="246" customFormat="1">
      <c r="B147" s="1026"/>
    </row>
    <row r="148" spans="2:2" s="246" customFormat="1">
      <c r="B148" s="1026"/>
    </row>
    <row r="149" spans="2:2" s="246" customFormat="1">
      <c r="B149" s="1026"/>
    </row>
    <row r="150" spans="2:2" s="246" customFormat="1">
      <c r="B150" s="1026"/>
    </row>
    <row r="151" spans="2:2" s="246" customFormat="1">
      <c r="B151" s="1026"/>
    </row>
    <row r="152" spans="2:2" s="246" customFormat="1">
      <c r="B152" s="1026"/>
    </row>
    <row r="153" spans="2:2" s="246" customFormat="1">
      <c r="B153" s="1026"/>
    </row>
    <row r="154" spans="2:2" s="246" customFormat="1">
      <c r="B154" s="1026"/>
    </row>
    <row r="155" spans="2:2" s="246" customFormat="1">
      <c r="B155" s="1026"/>
    </row>
    <row r="156" spans="2:2" s="246" customFormat="1">
      <c r="B156" s="1026"/>
    </row>
    <row r="157" spans="2:2" s="246" customFormat="1">
      <c r="B157" s="1026"/>
    </row>
    <row r="158" spans="2:2" s="246" customFormat="1">
      <c r="B158" s="1026"/>
    </row>
    <row r="159" spans="2:2" s="246" customFormat="1">
      <c r="B159" s="1026"/>
    </row>
    <row r="160" spans="2:2" s="246" customFormat="1">
      <c r="B160" s="1026"/>
    </row>
    <row r="161" spans="2:2" s="246" customFormat="1">
      <c r="B161" s="1026"/>
    </row>
    <row r="162" spans="2:2" s="246" customFormat="1">
      <c r="B162" s="1026"/>
    </row>
    <row r="163" spans="2:2" s="246" customFormat="1">
      <c r="B163" s="1026"/>
    </row>
    <row r="164" spans="2:2" s="246" customFormat="1">
      <c r="B164" s="1026"/>
    </row>
    <row r="165" spans="2:2" s="246" customFormat="1">
      <c r="B165" s="1026"/>
    </row>
    <row r="166" spans="2:2" s="246" customFormat="1">
      <c r="B166" s="1026"/>
    </row>
    <row r="167" spans="2:2" s="246" customFormat="1">
      <c r="B167" s="1026"/>
    </row>
    <row r="168" spans="2:2" s="246" customFormat="1">
      <c r="B168" s="1026"/>
    </row>
    <row r="169" spans="2:2" s="246" customFormat="1">
      <c r="B169" s="1026"/>
    </row>
    <row r="170" spans="2:2" s="246" customFormat="1">
      <c r="B170" s="1026"/>
    </row>
    <row r="171" spans="2:2" s="246" customFormat="1">
      <c r="B171" s="1026"/>
    </row>
    <row r="172" spans="2:2" s="246" customFormat="1">
      <c r="B172" s="1026"/>
    </row>
    <row r="173" spans="2:2" s="246" customFormat="1">
      <c r="B173" s="1026"/>
    </row>
    <row r="174" spans="2:2" s="246" customFormat="1">
      <c r="B174" s="1026"/>
    </row>
    <row r="175" spans="2:2" s="246" customFormat="1">
      <c r="B175" s="1026"/>
    </row>
    <row r="176" spans="2:2" s="246" customFormat="1">
      <c r="B176" s="1026"/>
    </row>
    <row r="177" spans="2:2" s="246" customFormat="1">
      <c r="B177" s="1026"/>
    </row>
    <row r="178" spans="2:2" s="246" customFormat="1">
      <c r="B178" s="1026"/>
    </row>
    <row r="179" spans="2:2" s="246" customFormat="1">
      <c r="B179" s="1026"/>
    </row>
    <row r="180" spans="2:2" s="246" customFormat="1">
      <c r="B180" s="1026"/>
    </row>
    <row r="181" spans="2:2" s="246" customFormat="1">
      <c r="B181" s="1026"/>
    </row>
    <row r="182" spans="2:2" s="246" customFormat="1">
      <c r="B182" s="1026"/>
    </row>
    <row r="183" spans="2:2" s="246" customFormat="1">
      <c r="B183" s="1026"/>
    </row>
    <row r="184" spans="2:2" s="246" customFormat="1">
      <c r="B184" s="1026"/>
    </row>
    <row r="185" spans="2:2" s="246" customFormat="1">
      <c r="B185" s="1026"/>
    </row>
    <row r="186" spans="2:2" s="246" customFormat="1">
      <c r="B186" s="1026"/>
    </row>
    <row r="187" spans="2:2" s="246" customFormat="1">
      <c r="B187" s="1026"/>
    </row>
    <row r="188" spans="2:2" s="246" customFormat="1">
      <c r="B188" s="1026"/>
    </row>
    <row r="189" spans="2:2" s="246" customFormat="1">
      <c r="B189" s="1026"/>
    </row>
    <row r="190" spans="2:2" s="246" customFormat="1">
      <c r="B190" s="1026"/>
    </row>
    <row r="191" spans="2:2" s="246" customFormat="1">
      <c r="B191" s="1026"/>
    </row>
    <row r="192" spans="2:2" s="246" customFormat="1">
      <c r="B192" s="1026"/>
    </row>
    <row r="193" spans="2:2" s="246" customFormat="1">
      <c r="B193" s="1026"/>
    </row>
    <row r="194" spans="2:2" s="246" customFormat="1">
      <c r="B194" s="1026"/>
    </row>
    <row r="195" spans="2:2" s="246" customFormat="1">
      <c r="B195" s="1026"/>
    </row>
    <row r="196" spans="2:2" s="246" customFormat="1">
      <c r="B196" s="1026"/>
    </row>
    <row r="197" spans="2:2" s="246" customFormat="1">
      <c r="B197" s="1026"/>
    </row>
    <row r="198" spans="2:2" s="246" customFormat="1">
      <c r="B198" s="1026"/>
    </row>
    <row r="199" spans="2:2" s="246" customFormat="1">
      <c r="B199" s="1026"/>
    </row>
    <row r="200" spans="2:2" s="246" customFormat="1">
      <c r="B200" s="1026"/>
    </row>
    <row r="201" spans="2:2" s="246" customFormat="1">
      <c r="B201" s="1026"/>
    </row>
    <row r="202" spans="2:2" s="246" customFormat="1">
      <c r="B202" s="1026"/>
    </row>
    <row r="203" spans="2:2" s="246" customFormat="1">
      <c r="B203" s="1026"/>
    </row>
    <row r="204" spans="2:2" s="246" customFormat="1">
      <c r="B204" s="1026"/>
    </row>
    <row r="205" spans="2:2" s="246" customFormat="1">
      <c r="B205" s="1026"/>
    </row>
    <row r="206" spans="2:2" s="246" customFormat="1">
      <c r="B206" s="1026"/>
    </row>
    <row r="207" spans="2:2" s="246" customFormat="1">
      <c r="B207" s="1026"/>
    </row>
    <row r="208" spans="2:2" s="246" customFormat="1">
      <c r="B208" s="1026"/>
    </row>
    <row r="209" spans="2:2" s="246" customFormat="1">
      <c r="B209" s="1026"/>
    </row>
    <row r="210" spans="2:2" s="246" customFormat="1">
      <c r="B210" s="1026"/>
    </row>
    <row r="211" spans="2:2" s="246" customFormat="1">
      <c r="B211" s="1026"/>
    </row>
    <row r="212" spans="2:2" s="246" customFormat="1">
      <c r="B212" s="1026"/>
    </row>
    <row r="213" spans="2:2" s="246" customFormat="1">
      <c r="B213" s="1026"/>
    </row>
    <row r="214" spans="2:2" s="246" customFormat="1">
      <c r="B214" s="1026"/>
    </row>
    <row r="215" spans="2:2" s="246" customFormat="1">
      <c r="B215" s="1026"/>
    </row>
    <row r="216" spans="2:2" s="246" customFormat="1">
      <c r="B216" s="1026"/>
    </row>
    <row r="217" spans="2:2" s="246" customFormat="1">
      <c r="B217" s="1026"/>
    </row>
    <row r="218" spans="2:2" s="246" customFormat="1">
      <c r="B218" s="1026"/>
    </row>
    <row r="219" spans="2:2" s="246" customFormat="1">
      <c r="B219" s="1026"/>
    </row>
    <row r="220" spans="2:2" s="246" customFormat="1">
      <c r="B220" s="1026"/>
    </row>
    <row r="221" spans="2:2" s="246" customFormat="1">
      <c r="B221" s="1026"/>
    </row>
    <row r="222" spans="2:2" s="246" customFormat="1">
      <c r="B222" s="1026"/>
    </row>
    <row r="223" spans="2:2" s="246" customFormat="1">
      <c r="B223" s="1026"/>
    </row>
    <row r="224" spans="2:2" s="246" customFormat="1">
      <c r="B224" s="1026"/>
    </row>
    <row r="225" spans="2:2" s="246" customFormat="1">
      <c r="B225" s="1026"/>
    </row>
    <row r="226" spans="2:2" s="246" customFormat="1">
      <c r="B226" s="1026"/>
    </row>
    <row r="227" spans="2:2" s="246" customFormat="1">
      <c r="B227" s="1026"/>
    </row>
    <row r="228" spans="2:2" s="246" customFormat="1">
      <c r="B228" s="1026"/>
    </row>
    <row r="229" spans="2:2" s="246" customFormat="1">
      <c r="B229" s="1026"/>
    </row>
    <row r="230" spans="2:2" s="246" customFormat="1">
      <c r="B230" s="1026"/>
    </row>
    <row r="231" spans="2:2" s="246" customFormat="1">
      <c r="B231" s="1026"/>
    </row>
    <row r="232" spans="2:2" s="246" customFormat="1">
      <c r="B232" s="1026"/>
    </row>
    <row r="233" spans="2:2" s="246" customFormat="1">
      <c r="B233" s="1026"/>
    </row>
    <row r="234" spans="2:2" s="246" customFormat="1">
      <c r="B234" s="1026"/>
    </row>
    <row r="235" spans="2:2" s="246" customFormat="1">
      <c r="B235" s="1026"/>
    </row>
    <row r="236" spans="2:2" s="246" customFormat="1">
      <c r="B236" s="1026"/>
    </row>
    <row r="237" spans="2:2" s="246" customFormat="1">
      <c r="B237" s="1026"/>
    </row>
    <row r="238" spans="2:2" s="246" customFormat="1">
      <c r="B238" s="1026"/>
    </row>
    <row r="239" spans="2:2" s="246" customFormat="1">
      <c r="B239" s="1026"/>
    </row>
    <row r="240" spans="2:2" s="246" customFormat="1">
      <c r="B240" s="1026"/>
    </row>
    <row r="241" spans="2:2" s="246" customFormat="1">
      <c r="B241" s="1026"/>
    </row>
    <row r="242" spans="2:2" s="246" customFormat="1">
      <c r="B242" s="1026"/>
    </row>
    <row r="243" spans="2:2" s="246" customFormat="1">
      <c r="B243" s="1026"/>
    </row>
    <row r="244" spans="2:2" s="246" customFormat="1">
      <c r="B244" s="1026"/>
    </row>
    <row r="245" spans="2:2" s="246" customFormat="1">
      <c r="B245" s="1026"/>
    </row>
    <row r="246" spans="2:2" s="246" customFormat="1">
      <c r="B246" s="1026"/>
    </row>
    <row r="247" spans="2:2" s="246" customFormat="1">
      <c r="B247" s="1026"/>
    </row>
    <row r="248" spans="2:2" s="246" customFormat="1">
      <c r="B248" s="1026"/>
    </row>
    <row r="249" spans="2:2" s="246" customFormat="1">
      <c r="B249" s="1026"/>
    </row>
    <row r="250" spans="2:2" s="246" customFormat="1">
      <c r="B250" s="1026"/>
    </row>
    <row r="251" spans="2:2" s="246" customFormat="1">
      <c r="B251" s="1026"/>
    </row>
    <row r="252" spans="2:2" s="246" customFormat="1">
      <c r="B252" s="1026"/>
    </row>
    <row r="253" spans="2:2" s="246" customFormat="1">
      <c r="B253" s="1026"/>
    </row>
    <row r="254" spans="2:2" s="246" customFormat="1">
      <c r="B254" s="1026"/>
    </row>
    <row r="255" spans="2:2" s="246" customFormat="1">
      <c r="B255" s="1026"/>
    </row>
    <row r="256" spans="2:2" s="246" customFormat="1">
      <c r="B256" s="1026"/>
    </row>
    <row r="257" spans="2:2" s="246" customFormat="1">
      <c r="B257" s="1026"/>
    </row>
    <row r="258" spans="2:2" s="246" customFormat="1">
      <c r="B258" s="1026"/>
    </row>
    <row r="259" spans="2:2" s="246" customFormat="1">
      <c r="B259" s="1026"/>
    </row>
    <row r="260" spans="2:2" s="246" customFormat="1">
      <c r="B260" s="1026"/>
    </row>
    <row r="261" spans="2:2" s="246" customFormat="1">
      <c r="B261" s="1026"/>
    </row>
    <row r="262" spans="2:2" s="246" customFormat="1">
      <c r="B262" s="1026"/>
    </row>
    <row r="263" spans="2:2" s="246" customFormat="1">
      <c r="B263" s="1026"/>
    </row>
    <row r="264" spans="2:2" s="246" customFormat="1">
      <c r="B264" s="1026"/>
    </row>
    <row r="265" spans="2:2" s="246" customFormat="1">
      <c r="B265" s="1026"/>
    </row>
    <row r="266" spans="2:2" s="246" customFormat="1">
      <c r="B266" s="1026"/>
    </row>
    <row r="267" spans="2:2" s="246" customFormat="1">
      <c r="B267" s="1026"/>
    </row>
    <row r="268" spans="2:2" s="246" customFormat="1">
      <c r="B268" s="1026"/>
    </row>
    <row r="269" spans="2:2" s="246" customFormat="1">
      <c r="B269" s="1026"/>
    </row>
    <row r="270" spans="2:2" s="246" customFormat="1">
      <c r="B270" s="1026"/>
    </row>
    <row r="271" spans="2:2" s="246" customFormat="1">
      <c r="B271" s="1026"/>
    </row>
    <row r="272" spans="2:2" s="246" customFormat="1">
      <c r="B272" s="1026"/>
    </row>
    <row r="273" spans="2:2" s="246" customFormat="1">
      <c r="B273" s="1026"/>
    </row>
    <row r="274" spans="2:2" s="246" customFormat="1">
      <c r="B274" s="1026"/>
    </row>
    <row r="275" spans="2:2" s="246" customFormat="1">
      <c r="B275" s="1026"/>
    </row>
    <row r="276" spans="2:2" s="246" customFormat="1">
      <c r="B276" s="1026"/>
    </row>
    <row r="277" spans="2:2" s="246" customFormat="1">
      <c r="B277" s="1026"/>
    </row>
    <row r="278" spans="2:2" s="246" customFormat="1">
      <c r="B278" s="1026"/>
    </row>
    <row r="279" spans="2:2" s="246" customFormat="1">
      <c r="B279" s="1026"/>
    </row>
    <row r="280" spans="2:2" s="246" customFormat="1">
      <c r="B280" s="1026"/>
    </row>
    <row r="281" spans="2:2" s="246" customFormat="1">
      <c r="B281" s="1026"/>
    </row>
    <row r="282" spans="2:2" s="246" customFormat="1">
      <c r="B282" s="1026"/>
    </row>
    <row r="283" spans="2:2" s="246" customFormat="1">
      <c r="B283" s="1026"/>
    </row>
    <row r="284" spans="2:2" s="246" customFormat="1">
      <c r="B284" s="1026"/>
    </row>
    <row r="285" spans="2:2" s="246" customFormat="1">
      <c r="B285" s="1026"/>
    </row>
    <row r="286" spans="2:2" s="246" customFormat="1">
      <c r="B286" s="1026"/>
    </row>
    <row r="287" spans="2:2" s="246" customFormat="1">
      <c r="B287" s="1026"/>
    </row>
    <row r="288" spans="2:2" s="246" customFormat="1">
      <c r="B288" s="1026"/>
    </row>
    <row r="289" spans="2:2" s="246" customFormat="1">
      <c r="B289" s="1026"/>
    </row>
    <row r="290" spans="2:2" s="246" customFormat="1">
      <c r="B290" s="1026"/>
    </row>
    <row r="291" spans="2:2" s="246" customFormat="1">
      <c r="B291" s="1026"/>
    </row>
    <row r="292" spans="2:2" s="246" customFormat="1">
      <c r="B292" s="1026"/>
    </row>
    <row r="293" spans="2:2" s="246" customFormat="1">
      <c r="B293" s="1026"/>
    </row>
    <row r="294" spans="2:2" s="246" customFormat="1">
      <c r="B294" s="1026"/>
    </row>
    <row r="295" spans="2:2" s="246" customFormat="1">
      <c r="B295" s="1026"/>
    </row>
    <row r="296" spans="2:2" s="246" customFormat="1">
      <c r="B296" s="1026"/>
    </row>
    <row r="297" spans="2:2" s="246" customFormat="1">
      <c r="B297" s="1026"/>
    </row>
    <row r="298" spans="2:2" s="246" customFormat="1">
      <c r="B298" s="1026"/>
    </row>
    <row r="299" spans="2:2" s="246" customFormat="1">
      <c r="B299" s="1026"/>
    </row>
    <row r="300" spans="2:2" s="246" customFormat="1">
      <c r="B300" s="1026"/>
    </row>
    <row r="301" spans="2:2" s="246" customFormat="1">
      <c r="B301" s="1026"/>
    </row>
    <row r="302" spans="2:2" s="246" customFormat="1">
      <c r="B302" s="1026"/>
    </row>
    <row r="303" spans="2:2" s="246" customFormat="1">
      <c r="B303" s="1026"/>
    </row>
    <row r="304" spans="2:2" s="246" customFormat="1">
      <c r="B304" s="1026"/>
    </row>
    <row r="305" spans="2:2" s="246" customFormat="1">
      <c r="B305" s="1026"/>
    </row>
    <row r="306" spans="2:2" s="246" customFormat="1">
      <c r="B306" s="1026"/>
    </row>
    <row r="307" spans="2:2" s="246" customFormat="1">
      <c r="B307" s="1026"/>
    </row>
    <row r="308" spans="2:2" s="246" customFormat="1">
      <c r="B308" s="1026"/>
    </row>
    <row r="309" spans="2:2" s="246" customFormat="1">
      <c r="B309" s="1026"/>
    </row>
    <row r="310" spans="2:2" s="246" customFormat="1">
      <c r="B310" s="1026"/>
    </row>
    <row r="311" spans="2:2" s="246" customFormat="1">
      <c r="B311" s="1026"/>
    </row>
    <row r="312" spans="2:2" s="246" customFormat="1">
      <c r="B312" s="1026"/>
    </row>
    <row r="313" spans="2:2" s="246" customFormat="1">
      <c r="B313" s="1026"/>
    </row>
    <row r="314" spans="2:2" s="246" customFormat="1">
      <c r="B314" s="1026"/>
    </row>
    <row r="315" spans="2:2" s="246" customFormat="1">
      <c r="B315" s="1026"/>
    </row>
    <row r="316" spans="2:2" s="246" customFormat="1">
      <c r="B316" s="1026"/>
    </row>
    <row r="317" spans="2:2" s="246" customFormat="1">
      <c r="B317" s="1026"/>
    </row>
    <row r="318" spans="2:2" s="246" customFormat="1">
      <c r="B318" s="1026"/>
    </row>
    <row r="319" spans="2:2" s="246" customFormat="1">
      <c r="B319" s="1026"/>
    </row>
    <row r="320" spans="2:2" s="246" customFormat="1">
      <c r="B320" s="1026"/>
    </row>
    <row r="321" spans="2:2" s="246" customFormat="1">
      <c r="B321" s="1026"/>
    </row>
    <row r="322" spans="2:2" s="246" customFormat="1">
      <c r="B322" s="1026"/>
    </row>
    <row r="323" spans="2:2" s="246" customFormat="1">
      <c r="B323" s="1026"/>
    </row>
    <row r="324" spans="2:2" s="246" customFormat="1">
      <c r="B324" s="1026"/>
    </row>
    <row r="325" spans="2:2" s="246" customFormat="1">
      <c r="B325" s="1026"/>
    </row>
    <row r="326" spans="2:2" s="246" customFormat="1">
      <c r="B326" s="1026"/>
    </row>
    <row r="327" spans="2:2" s="246" customFormat="1">
      <c r="B327" s="1026"/>
    </row>
    <row r="328" spans="2:2" s="246" customFormat="1">
      <c r="B328" s="1026"/>
    </row>
    <row r="329" spans="2:2" s="246" customFormat="1">
      <c r="B329" s="1026"/>
    </row>
    <row r="330" spans="2:2" s="246" customFormat="1">
      <c r="B330" s="1026"/>
    </row>
    <row r="331" spans="2:2" s="246" customFormat="1">
      <c r="B331" s="1026"/>
    </row>
    <row r="332" spans="2:2" s="246" customFormat="1">
      <c r="B332" s="1026"/>
    </row>
    <row r="333" spans="2:2" s="246" customFormat="1">
      <c r="B333" s="1026"/>
    </row>
    <row r="334" spans="2:2" s="246" customFormat="1">
      <c r="B334" s="1026"/>
    </row>
    <row r="335" spans="2:2" s="246" customFormat="1">
      <c r="B335" s="1026"/>
    </row>
    <row r="336" spans="2:2" s="246" customFormat="1">
      <c r="B336" s="1026"/>
    </row>
    <row r="337" spans="2:2" s="246" customFormat="1">
      <c r="B337" s="1026"/>
    </row>
    <row r="338" spans="2:2" s="246" customFormat="1">
      <c r="B338" s="1026"/>
    </row>
    <row r="339" spans="2:2" s="246" customFormat="1">
      <c r="B339" s="1026"/>
    </row>
    <row r="340" spans="2:2" s="246" customFormat="1">
      <c r="B340" s="1026"/>
    </row>
    <row r="341" spans="2:2" s="246" customFormat="1">
      <c r="B341" s="1026"/>
    </row>
    <row r="342" spans="2:2" s="246" customFormat="1">
      <c r="B342" s="1026"/>
    </row>
    <row r="343" spans="2:2" s="246" customFormat="1">
      <c r="B343" s="1026"/>
    </row>
    <row r="344" spans="2:2" s="246" customFormat="1">
      <c r="B344" s="1026"/>
    </row>
    <row r="345" spans="2:2" s="246" customFormat="1">
      <c r="B345" s="1026"/>
    </row>
    <row r="346" spans="2:2" s="246" customFormat="1">
      <c r="B346" s="1026"/>
    </row>
    <row r="347" spans="2:2" s="246" customFormat="1">
      <c r="B347" s="1026"/>
    </row>
    <row r="348" spans="2:2" s="246" customFormat="1">
      <c r="B348" s="1026"/>
    </row>
    <row r="349" spans="2:2" s="246" customFormat="1">
      <c r="B349" s="1026"/>
    </row>
    <row r="350" spans="2:2" s="246" customFormat="1">
      <c r="B350" s="1026"/>
    </row>
    <row r="351" spans="2:2" s="246" customFormat="1">
      <c r="B351" s="1026"/>
    </row>
    <row r="352" spans="2:2" s="246" customFormat="1">
      <c r="B352" s="1026"/>
    </row>
    <row r="353" spans="2:2" s="246" customFormat="1">
      <c r="B353" s="1026"/>
    </row>
    <row r="354" spans="2:2" s="246" customFormat="1">
      <c r="B354" s="1026"/>
    </row>
    <row r="355" spans="2:2" s="246" customFormat="1">
      <c r="B355" s="1026"/>
    </row>
    <row r="356" spans="2:2" s="246" customFormat="1">
      <c r="B356" s="1026"/>
    </row>
    <row r="357" spans="2:2" s="246" customFormat="1">
      <c r="B357" s="1026"/>
    </row>
    <row r="358" spans="2:2" s="246" customFormat="1">
      <c r="B358" s="1026"/>
    </row>
    <row r="359" spans="2:2" s="246" customFormat="1">
      <c r="B359" s="1026"/>
    </row>
    <row r="360" spans="2:2" s="246" customFormat="1">
      <c r="B360" s="1026"/>
    </row>
    <row r="361" spans="2:2" s="246" customFormat="1">
      <c r="B361" s="1026"/>
    </row>
    <row r="362" spans="2:2" s="246" customFormat="1">
      <c r="B362" s="1026"/>
    </row>
    <row r="363" spans="2:2" s="246" customFormat="1">
      <c r="B363" s="1026"/>
    </row>
    <row r="364" spans="2:2" s="246" customFormat="1">
      <c r="B364" s="1026"/>
    </row>
    <row r="365" spans="2:2" s="246" customFormat="1">
      <c r="B365" s="1026"/>
    </row>
    <row r="366" spans="2:2" s="246" customFormat="1">
      <c r="B366" s="1026"/>
    </row>
    <row r="367" spans="2:2" s="246" customFormat="1">
      <c r="B367" s="1026"/>
    </row>
    <row r="368" spans="2:2" s="246" customFormat="1">
      <c r="B368" s="1026"/>
    </row>
    <row r="369" spans="2:2" s="246" customFormat="1">
      <c r="B369" s="1026"/>
    </row>
    <row r="370" spans="2:2" s="246" customFormat="1">
      <c r="B370" s="1026"/>
    </row>
    <row r="371" spans="2:2" s="246" customFormat="1">
      <c r="B371" s="1026"/>
    </row>
    <row r="372" spans="2:2" s="246" customFormat="1">
      <c r="B372" s="1026"/>
    </row>
    <row r="373" spans="2:2" s="246" customFormat="1">
      <c r="B373" s="1026"/>
    </row>
    <row r="374" spans="2:2" s="246" customFormat="1">
      <c r="B374" s="1026"/>
    </row>
    <row r="375" spans="2:2" s="246" customFormat="1">
      <c r="B375" s="1026"/>
    </row>
    <row r="376" spans="2:2" s="246" customFormat="1">
      <c r="B376" s="1026"/>
    </row>
    <row r="377" spans="2:2" s="246" customFormat="1">
      <c r="B377" s="1026"/>
    </row>
    <row r="378" spans="2:2" s="246" customFormat="1">
      <c r="B378" s="1026"/>
    </row>
    <row r="379" spans="2:2" s="246" customFormat="1">
      <c r="B379" s="1026"/>
    </row>
    <row r="380" spans="2:2" s="246" customFormat="1">
      <c r="B380" s="1026"/>
    </row>
    <row r="381" spans="2:2" s="246" customFormat="1">
      <c r="B381" s="1026"/>
    </row>
    <row r="382" spans="2:2" s="246" customFormat="1">
      <c r="B382" s="1026"/>
    </row>
    <row r="383" spans="2:2" s="246" customFormat="1">
      <c r="B383" s="1026"/>
    </row>
    <row r="384" spans="2:2" s="246" customFormat="1">
      <c r="B384" s="1026"/>
    </row>
    <row r="385" spans="2:2" s="246" customFormat="1">
      <c r="B385" s="1026"/>
    </row>
    <row r="386" spans="2:2" s="246" customFormat="1">
      <c r="B386" s="1026"/>
    </row>
    <row r="387" spans="2:2" s="246" customFormat="1">
      <c r="B387" s="1026"/>
    </row>
    <row r="388" spans="2:2" s="246" customFormat="1">
      <c r="B388" s="1026"/>
    </row>
    <row r="389" spans="2:2" s="246" customFormat="1">
      <c r="B389" s="1026"/>
    </row>
    <row r="390" spans="2:2" s="246" customFormat="1">
      <c r="B390" s="1026"/>
    </row>
    <row r="391" spans="2:2" s="246" customFormat="1">
      <c r="B391" s="1026"/>
    </row>
    <row r="392" spans="2:2" s="246" customFormat="1">
      <c r="B392" s="1026"/>
    </row>
    <row r="393" spans="2:2" s="246" customFormat="1">
      <c r="B393" s="1026"/>
    </row>
    <row r="394" spans="2:2" s="246" customFormat="1">
      <c r="B394" s="1026"/>
    </row>
    <row r="395" spans="2:2" s="246" customFormat="1">
      <c r="B395" s="1026"/>
    </row>
    <row r="396" spans="2:2" s="246" customFormat="1">
      <c r="B396" s="1026"/>
    </row>
    <row r="397" spans="2:2" s="246" customFormat="1">
      <c r="B397" s="1026"/>
    </row>
    <row r="398" spans="2:2" s="246" customFormat="1">
      <c r="B398" s="1026"/>
    </row>
    <row r="399" spans="2:2" s="246" customFormat="1">
      <c r="B399" s="1026"/>
    </row>
    <row r="400" spans="2:2" s="246" customFormat="1">
      <c r="B400" s="1026"/>
    </row>
    <row r="401" spans="2:2" s="246" customFormat="1">
      <c r="B401" s="1026"/>
    </row>
    <row r="402" spans="2:2" s="246" customFormat="1">
      <c r="B402" s="1026"/>
    </row>
    <row r="403" spans="2:2" s="246" customFormat="1">
      <c r="B403" s="1026"/>
    </row>
    <row r="404" spans="2:2" s="246" customFormat="1">
      <c r="B404" s="1026"/>
    </row>
    <row r="405" spans="2:2" s="246" customFormat="1">
      <c r="B405" s="1026"/>
    </row>
    <row r="406" spans="2:2" s="246" customFormat="1">
      <c r="B406" s="1026"/>
    </row>
    <row r="407" spans="2:2" s="246" customFormat="1">
      <c r="B407" s="1026"/>
    </row>
    <row r="408" spans="2:2" s="246" customFormat="1">
      <c r="B408" s="1026"/>
    </row>
    <row r="409" spans="2:2" s="246" customFormat="1">
      <c r="B409" s="1026"/>
    </row>
    <row r="410" spans="2:2" s="246" customFormat="1">
      <c r="B410" s="1026"/>
    </row>
    <row r="411" spans="2:2" s="246" customFormat="1">
      <c r="B411" s="1026"/>
    </row>
    <row r="412" spans="2:2" s="246" customFormat="1">
      <c r="B412" s="1026"/>
    </row>
    <row r="413" spans="2:2" s="246" customFormat="1">
      <c r="B413" s="1026"/>
    </row>
    <row r="414" spans="2:2" s="246" customFormat="1">
      <c r="B414" s="1026"/>
    </row>
    <row r="415" spans="2:2" s="246" customFormat="1">
      <c r="B415" s="1026"/>
    </row>
    <row r="416" spans="2:2" s="246" customFormat="1">
      <c r="B416" s="1026"/>
    </row>
    <row r="417" spans="2:2" s="246" customFormat="1">
      <c r="B417" s="1026"/>
    </row>
    <row r="418" spans="2:2" s="246" customFormat="1">
      <c r="B418" s="1026"/>
    </row>
    <row r="419" spans="2:2" s="246" customFormat="1">
      <c r="B419" s="1026"/>
    </row>
    <row r="420" spans="2:2" s="246" customFormat="1">
      <c r="B420" s="1026"/>
    </row>
    <row r="421" spans="2:2" s="246" customFormat="1">
      <c r="B421" s="1026"/>
    </row>
    <row r="422" spans="2:2" s="246" customFormat="1">
      <c r="B422" s="1026"/>
    </row>
    <row r="423" spans="2:2" s="246" customFormat="1">
      <c r="B423" s="1026"/>
    </row>
    <row r="424" spans="2:2" s="246" customFormat="1">
      <c r="B424" s="1026"/>
    </row>
    <row r="425" spans="2:2" s="246" customFormat="1">
      <c r="B425" s="1026"/>
    </row>
    <row r="426" spans="2:2" s="246" customFormat="1">
      <c r="B426" s="1026"/>
    </row>
    <row r="427" spans="2:2" s="246" customFormat="1">
      <c r="B427" s="1026"/>
    </row>
    <row r="428" spans="2:2" s="246" customFormat="1">
      <c r="B428" s="1026"/>
    </row>
    <row r="429" spans="2:2" s="246" customFormat="1">
      <c r="B429" s="1026"/>
    </row>
    <row r="430" spans="2:2" s="246" customFormat="1">
      <c r="B430" s="1026"/>
    </row>
    <row r="431" spans="2:2" s="246" customFormat="1">
      <c r="B431" s="1026"/>
    </row>
    <row r="432" spans="2:2" s="246" customFormat="1">
      <c r="B432" s="1026"/>
    </row>
    <row r="433" spans="2:2" s="246" customFormat="1">
      <c r="B433" s="1026"/>
    </row>
    <row r="434" spans="2:2" s="246" customFormat="1">
      <c r="B434" s="1026"/>
    </row>
    <row r="435" spans="2:2" s="246" customFormat="1">
      <c r="B435" s="1026"/>
    </row>
    <row r="436" spans="2:2" s="246" customFormat="1">
      <c r="B436" s="1026"/>
    </row>
    <row r="437" spans="2:2" s="246" customFormat="1">
      <c r="B437" s="1026"/>
    </row>
    <row r="438" spans="2:2" s="246" customFormat="1">
      <c r="B438" s="1026"/>
    </row>
    <row r="439" spans="2:2" s="246" customFormat="1">
      <c r="B439" s="1026"/>
    </row>
    <row r="440" spans="2:2" s="246" customFormat="1">
      <c r="B440" s="1026"/>
    </row>
    <row r="441" spans="2:2" s="246" customFormat="1">
      <c r="B441" s="1026"/>
    </row>
    <row r="442" spans="2:2" s="246" customFormat="1">
      <c r="B442" s="1026"/>
    </row>
    <row r="443" spans="2:2" s="246" customFormat="1">
      <c r="B443" s="1026"/>
    </row>
    <row r="444" spans="2:2" s="246" customFormat="1">
      <c r="B444" s="1026"/>
    </row>
    <row r="445" spans="2:2" s="246" customFormat="1">
      <c r="B445" s="1026"/>
    </row>
    <row r="446" spans="2:2" s="246" customFormat="1">
      <c r="B446" s="1026"/>
    </row>
    <row r="447" spans="2:2" s="246" customFormat="1">
      <c r="B447" s="1026"/>
    </row>
    <row r="448" spans="2:2" s="246" customFormat="1">
      <c r="B448" s="1026"/>
    </row>
    <row r="449" spans="2:2" s="246" customFormat="1">
      <c r="B449" s="1026"/>
    </row>
    <row r="450" spans="2:2" s="246" customFormat="1">
      <c r="B450" s="1026"/>
    </row>
    <row r="451" spans="2:2" s="246" customFormat="1">
      <c r="B451" s="1026"/>
    </row>
    <row r="452" spans="2:2" s="246" customFormat="1">
      <c r="B452" s="1026"/>
    </row>
    <row r="453" spans="2:2" s="246" customFormat="1">
      <c r="B453" s="1026"/>
    </row>
    <row r="454" spans="2:2" s="246" customFormat="1">
      <c r="B454" s="1026"/>
    </row>
    <row r="455" spans="2:2" s="246" customFormat="1">
      <c r="B455" s="1026"/>
    </row>
    <row r="456" spans="2:2" s="246" customFormat="1">
      <c r="B456" s="1026"/>
    </row>
    <row r="457" spans="2:2" s="246" customFormat="1">
      <c r="B457" s="1026"/>
    </row>
    <row r="458" spans="2:2" s="246" customFormat="1">
      <c r="B458" s="1026"/>
    </row>
    <row r="459" spans="2:2" s="246" customFormat="1">
      <c r="B459" s="1026"/>
    </row>
    <row r="460" spans="2:2" s="246" customFormat="1">
      <c r="B460" s="1026"/>
    </row>
    <row r="461" spans="2:2" s="246" customFormat="1">
      <c r="B461" s="1026"/>
    </row>
    <row r="462" spans="2:2" s="246" customFormat="1">
      <c r="B462" s="1026"/>
    </row>
    <row r="463" spans="2:2" s="246" customFormat="1">
      <c r="B463" s="1026"/>
    </row>
    <row r="464" spans="2:2" s="246" customFormat="1">
      <c r="B464" s="1026"/>
    </row>
    <row r="465" spans="2:2" s="246" customFormat="1">
      <c r="B465" s="1026"/>
    </row>
    <row r="466" spans="2:2" s="246" customFormat="1">
      <c r="B466" s="1026"/>
    </row>
    <row r="467" spans="2:2" s="246" customFormat="1">
      <c r="B467" s="1026"/>
    </row>
    <row r="468" spans="2:2" s="246" customFormat="1">
      <c r="B468" s="1026"/>
    </row>
    <row r="469" spans="2:2" s="246" customFormat="1">
      <c r="B469" s="1026"/>
    </row>
    <row r="470" spans="2:2" s="246" customFormat="1">
      <c r="B470" s="1026"/>
    </row>
    <row r="471" spans="2:2" s="246" customFormat="1">
      <c r="B471" s="1026"/>
    </row>
    <row r="472" spans="2:2" s="246" customFormat="1">
      <c r="B472" s="1026"/>
    </row>
    <row r="473" spans="2:2" s="246" customFormat="1">
      <c r="B473" s="1026"/>
    </row>
    <row r="474" spans="2:2" s="246" customFormat="1">
      <c r="B474" s="1026"/>
    </row>
    <row r="475" spans="2:2" s="246" customFormat="1">
      <c r="B475" s="1026"/>
    </row>
    <row r="476" spans="2:2" s="246" customFormat="1">
      <c r="B476" s="1026"/>
    </row>
    <row r="477" spans="2:2" s="246" customFormat="1">
      <c r="B477" s="1026"/>
    </row>
    <row r="478" spans="2:2" s="246" customFormat="1">
      <c r="B478" s="1026"/>
    </row>
    <row r="479" spans="2:2" s="246" customFormat="1">
      <c r="B479" s="1026"/>
    </row>
    <row r="480" spans="2:2" s="246" customFormat="1">
      <c r="B480" s="1026"/>
    </row>
    <row r="481" spans="2:2" s="246" customFormat="1">
      <c r="B481" s="1026"/>
    </row>
    <row r="482" spans="2:2" s="246" customFormat="1">
      <c r="B482" s="1026"/>
    </row>
    <row r="483" spans="2:2" s="246" customFormat="1">
      <c r="B483" s="1026"/>
    </row>
    <row r="484" spans="2:2" s="246" customFormat="1">
      <c r="B484" s="1026"/>
    </row>
    <row r="485" spans="2:2" s="246" customFormat="1">
      <c r="B485" s="1026"/>
    </row>
    <row r="486" spans="2:2" s="246" customFormat="1">
      <c r="B486" s="1026"/>
    </row>
    <row r="487" spans="2:2" s="246" customFormat="1">
      <c r="B487" s="1026"/>
    </row>
    <row r="488" spans="2:2" s="246" customFormat="1">
      <c r="B488" s="1026"/>
    </row>
    <row r="489" spans="2:2" s="246" customFormat="1">
      <c r="B489" s="1026"/>
    </row>
    <row r="490" spans="2:2" s="246" customFormat="1">
      <c r="B490" s="1026"/>
    </row>
    <row r="491" spans="2:2" s="246" customFormat="1">
      <c r="B491" s="1026"/>
    </row>
    <row r="492" spans="2:2" s="246" customFormat="1">
      <c r="B492" s="1026"/>
    </row>
    <row r="493" spans="2:2" s="246" customFormat="1">
      <c r="B493" s="1026"/>
    </row>
    <row r="494" spans="2:2" s="246" customFormat="1">
      <c r="B494" s="1026"/>
    </row>
    <row r="495" spans="2:2" s="246" customFormat="1">
      <c r="B495" s="1026"/>
    </row>
    <row r="496" spans="2:2" s="246" customFormat="1">
      <c r="B496" s="1026"/>
    </row>
    <row r="497" spans="2:2" s="246" customFormat="1">
      <c r="B497" s="1026"/>
    </row>
    <row r="498" spans="2:2" s="246" customFormat="1">
      <c r="B498" s="1026"/>
    </row>
    <row r="499" spans="2:2" s="246" customFormat="1">
      <c r="B499" s="1026"/>
    </row>
    <row r="500" spans="2:2" s="246" customFormat="1">
      <c r="B500" s="1026"/>
    </row>
    <row r="501" spans="2:2" s="246" customFormat="1">
      <c r="B501" s="1026"/>
    </row>
    <row r="502" spans="2:2" s="246" customFormat="1">
      <c r="B502" s="1026"/>
    </row>
    <row r="503" spans="2:2" s="246" customFormat="1">
      <c r="B503" s="1026"/>
    </row>
    <row r="504" spans="2:2" s="246" customFormat="1">
      <c r="B504" s="1026"/>
    </row>
    <row r="505" spans="2:2" s="246" customFormat="1">
      <c r="B505" s="1026"/>
    </row>
    <row r="506" spans="2:2" s="246" customFormat="1">
      <c r="B506" s="1026"/>
    </row>
    <row r="507" spans="2:2" s="246" customFormat="1">
      <c r="B507" s="1026"/>
    </row>
    <row r="508" spans="2:2" s="246" customFormat="1">
      <c r="B508" s="1026"/>
    </row>
    <row r="509" spans="2:2" s="246" customFormat="1">
      <c r="B509" s="1026"/>
    </row>
    <row r="510" spans="2:2" s="246" customFormat="1">
      <c r="B510" s="1026"/>
    </row>
    <row r="511" spans="2:2" s="246" customFormat="1">
      <c r="B511" s="1026"/>
    </row>
    <row r="512" spans="2:2" s="246" customFormat="1">
      <c r="B512" s="1026"/>
    </row>
    <row r="513" spans="2:2" s="246" customFormat="1">
      <c r="B513" s="1026"/>
    </row>
    <row r="514" spans="2:2" s="246" customFormat="1">
      <c r="B514" s="1026"/>
    </row>
    <row r="515" spans="2:2" s="246" customFormat="1">
      <c r="B515" s="1026"/>
    </row>
    <row r="516" spans="2:2" s="246" customFormat="1">
      <c r="B516" s="1026"/>
    </row>
    <row r="517" spans="2:2" s="246" customFormat="1">
      <c r="B517" s="1026"/>
    </row>
    <row r="518" spans="2:2" s="246" customFormat="1">
      <c r="B518" s="1026"/>
    </row>
    <row r="519" spans="2:2" s="246" customFormat="1">
      <c r="B519" s="1026"/>
    </row>
    <row r="520" spans="2:2" s="246" customFormat="1">
      <c r="B520" s="1026"/>
    </row>
    <row r="521" spans="2:2" s="246" customFormat="1">
      <c r="B521" s="1026"/>
    </row>
    <row r="522" spans="2:2" s="246" customFormat="1">
      <c r="B522" s="1026"/>
    </row>
    <row r="523" spans="2:2" s="246" customFormat="1">
      <c r="B523" s="1026"/>
    </row>
    <row r="524" spans="2:2" s="246" customFormat="1">
      <c r="B524" s="1026"/>
    </row>
    <row r="525" spans="2:2" s="246" customFormat="1">
      <c r="B525" s="1026"/>
    </row>
    <row r="526" spans="2:2" s="246" customFormat="1">
      <c r="B526" s="1026"/>
    </row>
    <row r="527" spans="2:2" s="246" customFormat="1">
      <c r="B527" s="1026"/>
    </row>
    <row r="528" spans="2:2" s="246" customFormat="1">
      <c r="B528" s="1026"/>
    </row>
    <row r="529" spans="2:2" s="246" customFormat="1">
      <c r="B529" s="1026"/>
    </row>
    <row r="530" spans="2:2" s="246" customFormat="1">
      <c r="B530" s="1026"/>
    </row>
    <row r="531" spans="2:2" s="246" customFormat="1">
      <c r="B531" s="1026"/>
    </row>
    <row r="532" spans="2:2" s="246" customFormat="1">
      <c r="B532" s="1026"/>
    </row>
    <row r="533" spans="2:2" s="246" customFormat="1">
      <c r="B533" s="1026"/>
    </row>
    <row r="534" spans="2:2" s="246" customFormat="1">
      <c r="B534" s="1026"/>
    </row>
    <row r="535" spans="2:2" s="246" customFormat="1">
      <c r="B535" s="1026"/>
    </row>
    <row r="536" spans="2:2" s="246" customFormat="1">
      <c r="B536" s="1026"/>
    </row>
    <row r="537" spans="2:2" s="246" customFormat="1">
      <c r="B537" s="1026"/>
    </row>
    <row r="538" spans="2:2" s="246" customFormat="1">
      <c r="B538" s="1026"/>
    </row>
    <row r="539" spans="2:2" s="246" customFormat="1">
      <c r="B539" s="1026"/>
    </row>
    <row r="540" spans="2:2" s="246" customFormat="1">
      <c r="B540" s="1026"/>
    </row>
    <row r="541" spans="2:2" s="246" customFormat="1">
      <c r="B541" s="1026"/>
    </row>
    <row r="542" spans="2:2" s="246" customFormat="1">
      <c r="B542" s="1026"/>
    </row>
    <row r="543" spans="2:2" s="246" customFormat="1">
      <c r="B543" s="1026"/>
    </row>
    <row r="544" spans="2:2" s="246" customFormat="1">
      <c r="B544" s="1026"/>
    </row>
    <row r="545" spans="2:2" s="246" customFormat="1">
      <c r="B545" s="1026"/>
    </row>
    <row r="546" spans="2:2" s="246" customFormat="1">
      <c r="B546" s="1026"/>
    </row>
    <row r="547" spans="2:2" s="246" customFormat="1">
      <c r="B547" s="1026"/>
    </row>
    <row r="548" spans="2:2" s="246" customFormat="1">
      <c r="B548" s="1026"/>
    </row>
    <row r="549" spans="2:2" s="246" customFormat="1">
      <c r="B549" s="1026"/>
    </row>
    <row r="550" spans="2:2" s="246" customFormat="1">
      <c r="B550" s="1026"/>
    </row>
    <row r="551" spans="2:2" s="246" customFormat="1">
      <c r="B551" s="1026"/>
    </row>
    <row r="552" spans="2:2" s="246" customFormat="1">
      <c r="B552" s="1026"/>
    </row>
    <row r="553" spans="2:2" s="246" customFormat="1">
      <c r="B553" s="1026"/>
    </row>
    <row r="554" spans="2:2" s="246" customFormat="1">
      <c r="B554" s="1026"/>
    </row>
    <row r="555" spans="2:2" s="246" customFormat="1">
      <c r="B555" s="1026"/>
    </row>
    <row r="556" spans="2:2" s="246" customFormat="1">
      <c r="B556" s="1026"/>
    </row>
    <row r="557" spans="2:2" s="246" customFormat="1">
      <c r="B557" s="1026"/>
    </row>
    <row r="558" spans="2:2" s="246" customFormat="1">
      <c r="B558" s="1026"/>
    </row>
    <row r="559" spans="2:2" s="246" customFormat="1">
      <c r="B559" s="1026"/>
    </row>
    <row r="560" spans="2:2" s="246" customFormat="1">
      <c r="B560" s="1026"/>
    </row>
    <row r="561" spans="2:2" s="246" customFormat="1">
      <c r="B561" s="1026"/>
    </row>
    <row r="562" spans="2:2" s="246" customFormat="1">
      <c r="B562" s="1026"/>
    </row>
    <row r="563" spans="2:2" s="246" customFormat="1">
      <c r="B563" s="1026"/>
    </row>
    <row r="564" spans="2:2" s="246" customFormat="1">
      <c r="B564" s="1026"/>
    </row>
    <row r="565" spans="2:2" s="246" customFormat="1">
      <c r="B565" s="1026"/>
    </row>
    <row r="566" spans="2:2" s="246" customFormat="1">
      <c r="B566" s="1026"/>
    </row>
    <row r="567" spans="2:2" s="246" customFormat="1">
      <c r="B567" s="1026"/>
    </row>
    <row r="568" spans="2:2" s="246" customFormat="1">
      <c r="B568" s="1026"/>
    </row>
    <row r="569" spans="2:2" s="246" customFormat="1">
      <c r="B569" s="1026"/>
    </row>
    <row r="570" spans="2:2" s="246" customFormat="1">
      <c r="B570" s="1026"/>
    </row>
    <row r="571" spans="2:2" s="246" customFormat="1">
      <c r="B571" s="1026"/>
    </row>
    <row r="572" spans="2:2" s="246" customFormat="1">
      <c r="B572" s="1026"/>
    </row>
    <row r="573" spans="2:2" s="246" customFormat="1">
      <c r="B573" s="1026"/>
    </row>
    <row r="574" spans="2:2" s="246" customFormat="1">
      <c r="B574" s="1026"/>
    </row>
    <row r="575" spans="2:2" s="246" customFormat="1">
      <c r="B575" s="1026"/>
    </row>
    <row r="576" spans="2:2" s="246" customFormat="1">
      <c r="B576" s="1026"/>
    </row>
    <row r="577" spans="2:2" s="246" customFormat="1">
      <c r="B577" s="1026"/>
    </row>
    <row r="578" spans="2:2" s="246" customFormat="1">
      <c r="B578" s="1026"/>
    </row>
    <row r="579" spans="2:2" s="246" customFormat="1">
      <c r="B579" s="1026"/>
    </row>
    <row r="580" spans="2:2" s="246" customFormat="1">
      <c r="B580" s="1026"/>
    </row>
    <row r="581" spans="2:2" s="246" customFormat="1">
      <c r="B581" s="1026"/>
    </row>
    <row r="582" spans="2:2" s="246" customFormat="1">
      <c r="B582" s="1026"/>
    </row>
    <row r="583" spans="2:2" s="246" customFormat="1">
      <c r="B583" s="1026"/>
    </row>
    <row r="584" spans="2:2" s="246" customFormat="1">
      <c r="B584" s="1026"/>
    </row>
    <row r="585" spans="2:2" s="246" customFormat="1">
      <c r="B585" s="1026"/>
    </row>
    <row r="586" spans="2:2" s="246" customFormat="1">
      <c r="B586" s="1026"/>
    </row>
    <row r="587" spans="2:2" s="246" customFormat="1">
      <c r="B587" s="1026"/>
    </row>
    <row r="588" spans="2:2" s="246" customFormat="1">
      <c r="B588" s="1026"/>
    </row>
    <row r="589" spans="2:2" s="246" customFormat="1">
      <c r="B589" s="1026"/>
    </row>
    <row r="590" spans="2:2" s="246" customFormat="1">
      <c r="B590" s="1026"/>
    </row>
    <row r="591" spans="2:2" s="246" customFormat="1">
      <c r="B591" s="1026"/>
    </row>
    <row r="592" spans="2:2" s="246" customFormat="1">
      <c r="B592" s="1026"/>
    </row>
    <row r="593" spans="2:2" s="246" customFormat="1">
      <c r="B593" s="1026"/>
    </row>
    <row r="594" spans="2:2" s="246" customFormat="1">
      <c r="B594" s="1026"/>
    </row>
    <row r="595" spans="2:2" s="246" customFormat="1">
      <c r="B595" s="1026"/>
    </row>
    <row r="596" spans="2:2" s="246" customFormat="1">
      <c r="B596" s="1026"/>
    </row>
    <row r="597" spans="2:2" s="246" customFormat="1">
      <c r="B597" s="1026"/>
    </row>
    <row r="598" spans="2:2" s="246" customFormat="1">
      <c r="B598" s="1026"/>
    </row>
    <row r="599" spans="2:2" s="246" customFormat="1">
      <c r="B599" s="1026"/>
    </row>
    <row r="600" spans="2:2" s="246" customFormat="1">
      <c r="B600" s="1026"/>
    </row>
    <row r="601" spans="2:2" s="246" customFormat="1">
      <c r="B601" s="1026"/>
    </row>
    <row r="602" spans="2:2" s="246" customFormat="1">
      <c r="B602" s="1026"/>
    </row>
    <row r="603" spans="2:2" s="246" customFormat="1">
      <c r="B603" s="1026"/>
    </row>
    <row r="604" spans="2:2" s="246" customFormat="1">
      <c r="B604" s="1026"/>
    </row>
  </sheetData>
  <mergeCells count="33">
    <mergeCell ref="F15:J15"/>
    <mergeCell ref="O39:Q39"/>
    <mergeCell ref="E16:K16"/>
    <mergeCell ref="O42:Q42"/>
    <mergeCell ref="C32:J32"/>
    <mergeCell ref="M31:T34"/>
    <mergeCell ref="P18:S20"/>
    <mergeCell ref="Q29:S29"/>
    <mergeCell ref="P16:S16"/>
    <mergeCell ref="O44:Q44"/>
    <mergeCell ref="F17:J17"/>
    <mergeCell ref="P17:S17"/>
    <mergeCell ref="C34:J34"/>
    <mergeCell ref="O35:T35"/>
    <mergeCell ref="O36:Q36"/>
    <mergeCell ref="P23:S23"/>
    <mergeCell ref="C43:J43"/>
    <mergeCell ref="C42:J42"/>
    <mergeCell ref="C33:J33"/>
    <mergeCell ref="N12:S12"/>
    <mergeCell ref="P24:R24"/>
    <mergeCell ref="O11:S11"/>
    <mergeCell ref="O43:Q43"/>
    <mergeCell ref="O37:Q37"/>
    <mergeCell ref="O38:Q38"/>
    <mergeCell ref="O40:S40"/>
    <mergeCell ref="O41:Q41"/>
    <mergeCell ref="O52:R52"/>
    <mergeCell ref="O46:T46"/>
    <mergeCell ref="O47:Q47"/>
    <mergeCell ref="O48:Q48"/>
    <mergeCell ref="O49:Q49"/>
    <mergeCell ref="O50:Q50"/>
  </mergeCells>
  <pageMargins left="0" right="0" top="0.78740157480314998" bottom="0.78740157480314998" header="0" footer="0"/>
  <pageSetup paperSize="13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1:O89"/>
  <sheetViews>
    <sheetView zoomScale="150" zoomScaleNormal="150" workbookViewId="0">
      <pane xSplit="1" ySplit="5" topLeftCell="B46" activePane="bottomRight" state="frozen"/>
      <selection activeCell="F85" sqref="F85"/>
      <selection pane="topRight" activeCell="F85" sqref="F85"/>
      <selection pane="bottomLeft" activeCell="F85" sqref="F85"/>
      <selection pane="bottomRight" activeCell="A6" sqref="A6:XFD52"/>
    </sheetView>
  </sheetViews>
  <sheetFormatPr defaultColWidth="9.140625" defaultRowHeight="12.75"/>
  <cols>
    <col min="1" max="1" width="8.85546875" style="536" customWidth="1"/>
    <col min="2" max="2" width="12.85546875" style="536" customWidth="1"/>
    <col min="3" max="3" width="13.5703125" style="536" customWidth="1"/>
    <col min="4" max="4" width="13" style="536" customWidth="1"/>
    <col min="5" max="5" width="14" style="536" customWidth="1"/>
    <col min="6" max="6" width="14.140625" style="536" customWidth="1"/>
    <col min="7" max="7" width="15.28515625" style="536" customWidth="1"/>
    <col min="8" max="8" width="14.85546875" style="536" customWidth="1"/>
    <col min="9" max="9" width="15.85546875" style="536" customWidth="1"/>
    <col min="10" max="10" width="16" style="536" customWidth="1"/>
    <col min="11" max="11" width="15.28515625" style="536" customWidth="1"/>
    <col min="12" max="13" width="9.140625" style="536"/>
    <col min="14" max="14" width="10.42578125" style="536" customWidth="1"/>
    <col min="15" max="19" width="9.140625" style="536"/>
    <col min="20" max="20" width="10.140625" style="536" customWidth="1"/>
    <col min="21" max="16384" width="9.140625" style="536"/>
  </cols>
  <sheetData>
    <row r="1" spans="1:14" s="215" customFormat="1" ht="15.75">
      <c r="B1" s="654"/>
      <c r="C1" s="654"/>
      <c r="D1" s="1842" t="s">
        <v>1073</v>
      </c>
      <c r="E1" s="1842"/>
      <c r="F1" s="1842"/>
      <c r="G1" s="1848" t="s">
        <v>606</v>
      </c>
      <c r="H1" s="1848"/>
      <c r="I1" s="1848"/>
      <c r="J1" s="654"/>
      <c r="K1" s="1408" t="s">
        <v>249</v>
      </c>
    </row>
    <row r="2" spans="1:14" s="218" customFormat="1" ht="12">
      <c r="F2" s="1409"/>
      <c r="K2" s="1409" t="s">
        <v>25</v>
      </c>
    </row>
    <row r="3" spans="1:14" s="218" customFormat="1" ht="15.75" customHeight="1">
      <c r="A3" s="1774" t="s">
        <v>1231</v>
      </c>
      <c r="B3" s="1720" t="s">
        <v>666</v>
      </c>
      <c r="C3" s="1720" t="s">
        <v>1582</v>
      </c>
      <c r="D3" s="1886" t="s">
        <v>1090</v>
      </c>
      <c r="E3" s="1887"/>
      <c r="F3" s="1888"/>
      <c r="G3" s="1886" t="s">
        <v>178</v>
      </c>
      <c r="H3" s="1887"/>
      <c r="I3" s="1888"/>
      <c r="J3" s="1720" t="s">
        <v>1032</v>
      </c>
      <c r="K3" s="1720" t="s">
        <v>1182</v>
      </c>
    </row>
    <row r="4" spans="1:14" s="218" customFormat="1" ht="15" customHeight="1">
      <c r="A4" s="1774"/>
      <c r="B4" s="1721"/>
      <c r="C4" s="1721"/>
      <c r="D4" s="1407" t="s">
        <v>556</v>
      </c>
      <c r="E4" s="1407" t="s">
        <v>660</v>
      </c>
      <c r="F4" s="1406" t="s">
        <v>559</v>
      </c>
      <c r="G4" s="1407" t="s">
        <v>556</v>
      </c>
      <c r="H4" s="1407" t="s">
        <v>660</v>
      </c>
      <c r="I4" s="1406" t="s">
        <v>659</v>
      </c>
      <c r="J4" s="1721"/>
      <c r="K4" s="1721"/>
    </row>
    <row r="5" spans="1:14" s="656" customFormat="1" ht="11.25" customHeight="1">
      <c r="A5" s="1774"/>
      <c r="B5" s="420">
        <v>1</v>
      </c>
      <c r="C5" s="420">
        <v>2</v>
      </c>
      <c r="D5" s="655">
        <v>3</v>
      </c>
      <c r="E5" s="634">
        <v>4</v>
      </c>
      <c r="F5" s="655" t="s">
        <v>250</v>
      </c>
      <c r="G5" s="420">
        <v>6</v>
      </c>
      <c r="H5" s="420">
        <v>7</v>
      </c>
      <c r="I5" s="420" t="s">
        <v>253</v>
      </c>
      <c r="J5" s="634">
        <v>9</v>
      </c>
      <c r="K5" s="634" t="s">
        <v>251</v>
      </c>
    </row>
    <row r="6" spans="1:14" ht="11.45" customHeight="1">
      <c r="A6" s="184" t="s">
        <v>83</v>
      </c>
      <c r="B6" s="563">
        <v>115781.9</v>
      </c>
      <c r="C6" s="69">
        <v>12.31</v>
      </c>
      <c r="D6" s="563">
        <v>1762.9</v>
      </c>
      <c r="E6" s="69">
        <v>855.33</v>
      </c>
      <c r="F6" s="69">
        <f t="shared" ref="F6:F7" si="0">D6+E6</f>
        <v>2618.23</v>
      </c>
      <c r="G6" s="563">
        <v>11081.4</v>
      </c>
      <c r="H6" s="69">
        <v>215758.99</v>
      </c>
      <c r="I6" s="69">
        <f t="shared" ref="I6:I7" si="1">G6+H6</f>
        <v>226840.38999999998</v>
      </c>
      <c r="J6" s="69">
        <v>68779.06</v>
      </c>
      <c r="K6" s="69">
        <f t="shared" ref="K6:K7" si="2">B6+C6+F6+I6+J6</f>
        <v>414031.88999999996</v>
      </c>
      <c r="M6" s="657"/>
    </row>
    <row r="7" spans="1:14" ht="11.45" customHeight="1">
      <c r="A7" s="384" t="s">
        <v>225</v>
      </c>
      <c r="B7" s="564">
        <v>137011.5</v>
      </c>
      <c r="C7" s="365">
        <v>9.4</v>
      </c>
      <c r="D7" s="564">
        <v>2162.1</v>
      </c>
      <c r="E7" s="365">
        <v>2320.9</v>
      </c>
      <c r="F7" s="365">
        <f t="shared" si="0"/>
        <v>4483</v>
      </c>
      <c r="G7" s="564">
        <v>14837.8</v>
      </c>
      <c r="H7" s="365">
        <v>273618.90000000002</v>
      </c>
      <c r="I7" s="365">
        <f t="shared" si="1"/>
        <v>288456.7</v>
      </c>
      <c r="J7" s="365">
        <v>83570.100000000006</v>
      </c>
      <c r="K7" s="365">
        <f t="shared" si="2"/>
        <v>513530.69999999995</v>
      </c>
      <c r="M7" s="657"/>
    </row>
    <row r="8" spans="1:14" ht="11.45" customHeight="1">
      <c r="A8" s="184" t="s">
        <v>972</v>
      </c>
      <c r="B8" s="563">
        <v>155823.70000000001</v>
      </c>
      <c r="C8" s="69">
        <v>5.8</v>
      </c>
      <c r="D8" s="563">
        <v>2533.9</v>
      </c>
      <c r="E8" s="69">
        <v>3231.1</v>
      </c>
      <c r="F8" s="69">
        <v>5765</v>
      </c>
      <c r="G8" s="563">
        <v>12790.5</v>
      </c>
      <c r="H8" s="69">
        <v>334233.59999999998</v>
      </c>
      <c r="I8" s="69">
        <v>347024.1</v>
      </c>
      <c r="J8" s="69">
        <v>92021.6</v>
      </c>
      <c r="K8" s="69">
        <v>600640.19999999995</v>
      </c>
      <c r="M8" s="657"/>
    </row>
    <row r="9" spans="1:14" s="440" customFormat="1" ht="11.45" customHeight="1">
      <c r="A9" s="493" t="s">
        <v>1107</v>
      </c>
      <c r="B9" s="564">
        <v>174978.3</v>
      </c>
      <c r="C9" s="361">
        <v>2.2999999999999998</v>
      </c>
      <c r="D9" s="564">
        <v>3450</v>
      </c>
      <c r="E9" s="361">
        <v>5171.6000000000004</v>
      </c>
      <c r="F9" s="361">
        <v>8621.6</v>
      </c>
      <c r="G9" s="564">
        <v>5968.1</v>
      </c>
      <c r="H9" s="361">
        <v>371817.6</v>
      </c>
      <c r="I9" s="365">
        <v>377785.69999999995</v>
      </c>
      <c r="J9" s="361">
        <v>100452.9</v>
      </c>
      <c r="K9" s="365">
        <v>661840.79999999993</v>
      </c>
      <c r="M9" s="657"/>
    </row>
    <row r="10" spans="1:14" s="437" customFormat="1" ht="11.45" customHeight="1">
      <c r="A10" s="479" t="s">
        <v>1347</v>
      </c>
      <c r="B10" s="563">
        <v>194106.4</v>
      </c>
      <c r="C10" s="563">
        <v>0</v>
      </c>
      <c r="D10" s="563">
        <v>5184.7</v>
      </c>
      <c r="E10" s="563">
        <v>5839.1</v>
      </c>
      <c r="F10" s="563">
        <v>11023.8</v>
      </c>
      <c r="G10" s="563">
        <v>7468.8</v>
      </c>
      <c r="H10" s="563">
        <v>419702.1</v>
      </c>
      <c r="I10" s="563">
        <v>427170.89999999997</v>
      </c>
      <c r="J10" s="563">
        <v>112230.3</v>
      </c>
      <c r="K10" s="563">
        <v>744531.4</v>
      </c>
      <c r="L10" s="440"/>
      <c r="M10" s="657"/>
    </row>
    <row r="11" spans="1:14" s="437" customFormat="1" ht="11.45" customHeight="1">
      <c r="A11" s="493" t="s">
        <v>1406</v>
      </c>
      <c r="B11" s="562">
        <v>215482.2</v>
      </c>
      <c r="C11" s="562">
        <v>0</v>
      </c>
      <c r="D11" s="562">
        <v>5215.7</v>
      </c>
      <c r="E11" s="562">
        <v>7348.3</v>
      </c>
      <c r="F11" s="562">
        <v>12564</v>
      </c>
      <c r="G11" s="562">
        <v>11313.3</v>
      </c>
      <c r="H11" s="562">
        <v>475125.2</v>
      </c>
      <c r="I11" s="562">
        <v>486438.5</v>
      </c>
      <c r="J11" s="562">
        <v>124669.9</v>
      </c>
      <c r="K11" s="562">
        <v>839154.6</v>
      </c>
      <c r="M11" s="663"/>
    </row>
    <row r="12" spans="1:14" s="437" customFormat="1" ht="11.45" customHeight="1">
      <c r="A12" s="479" t="s">
        <v>1560</v>
      </c>
      <c r="B12" s="568">
        <v>252862.6</v>
      </c>
      <c r="C12" s="568">
        <v>0</v>
      </c>
      <c r="D12" s="568">
        <v>6541.6</v>
      </c>
      <c r="E12" s="568">
        <v>9916</v>
      </c>
      <c r="F12" s="568">
        <v>16457.599999999999</v>
      </c>
      <c r="G12" s="568">
        <v>9139.7000000000007</v>
      </c>
      <c r="H12" s="568">
        <v>565645.19999999995</v>
      </c>
      <c r="I12" s="568">
        <v>574784.89999999991</v>
      </c>
      <c r="J12" s="568">
        <v>135861.70000000001</v>
      </c>
      <c r="K12" s="568">
        <v>979966.79999999981</v>
      </c>
      <c r="M12" s="663"/>
    </row>
    <row r="13" spans="1:14" s="437" customFormat="1" ht="11.45" customHeight="1">
      <c r="A13" s="493" t="s">
        <v>1596</v>
      </c>
      <c r="B13" s="562">
        <v>288377.59999999998</v>
      </c>
      <c r="C13" s="562">
        <v>0</v>
      </c>
      <c r="D13" s="562">
        <v>7732.4</v>
      </c>
      <c r="E13" s="562">
        <v>14235.7</v>
      </c>
      <c r="F13" s="562">
        <v>21968.1</v>
      </c>
      <c r="G13" s="562">
        <v>9154.4</v>
      </c>
      <c r="H13" s="562">
        <v>651090.5</v>
      </c>
      <c r="I13" s="562">
        <v>660244.9</v>
      </c>
      <c r="J13" s="562">
        <v>159057.29999999999</v>
      </c>
      <c r="K13" s="562">
        <v>1129647.8999999999</v>
      </c>
      <c r="M13" s="663"/>
    </row>
    <row r="14" spans="1:14" s="437" customFormat="1" ht="11.45" customHeight="1">
      <c r="A14" s="707" t="s">
        <v>1756</v>
      </c>
      <c r="B14" s="688">
        <v>329523</v>
      </c>
      <c r="C14" s="688">
        <v>0</v>
      </c>
      <c r="D14" s="688">
        <v>1415.9</v>
      </c>
      <c r="E14" s="688">
        <v>20902.7</v>
      </c>
      <c r="F14" s="688">
        <v>22318.600000000002</v>
      </c>
      <c r="G14" s="688">
        <v>10709.7</v>
      </c>
      <c r="H14" s="688">
        <v>766225.4</v>
      </c>
      <c r="I14" s="688">
        <v>776935.1</v>
      </c>
      <c r="J14" s="688">
        <v>183088.4</v>
      </c>
      <c r="K14" s="688">
        <v>1311865.0999999999</v>
      </c>
      <c r="M14" s="663"/>
      <c r="N14" s="662"/>
    </row>
    <row r="15" spans="1:14" s="224" customFormat="1" ht="11.45" customHeight="1">
      <c r="A15" s="1088" t="s">
        <v>1904</v>
      </c>
      <c r="B15" s="691">
        <f>B27</f>
        <v>398418.5</v>
      </c>
      <c r="C15" s="691">
        <f t="shared" ref="C15:J15" si="3">C27</f>
        <v>0</v>
      </c>
      <c r="D15" s="691">
        <f t="shared" si="3"/>
        <v>2252.4</v>
      </c>
      <c r="E15" s="691">
        <f t="shared" si="3"/>
        <v>28546.6</v>
      </c>
      <c r="F15" s="691">
        <f t="shared" si="3"/>
        <v>30799</v>
      </c>
      <c r="G15" s="691">
        <f t="shared" si="3"/>
        <v>12577.7</v>
      </c>
      <c r="H15" s="691">
        <f t="shared" si="3"/>
        <v>846542.1</v>
      </c>
      <c r="I15" s="691">
        <f t="shared" si="3"/>
        <v>859119.79999999993</v>
      </c>
      <c r="J15" s="691">
        <f t="shared" si="3"/>
        <v>203477.6</v>
      </c>
      <c r="K15" s="691">
        <f>K27</f>
        <v>1491814.9</v>
      </c>
    </row>
    <row r="16" spans="1:14" s="285" customFormat="1" ht="11.45" customHeight="1">
      <c r="A16" s="479" t="s">
        <v>742</v>
      </c>
      <c r="B16" s="568">
        <v>336817.9</v>
      </c>
      <c r="C16" s="568">
        <v>0</v>
      </c>
      <c r="D16" s="568">
        <v>1508.4</v>
      </c>
      <c r="E16" s="568">
        <v>20318.099999999999</v>
      </c>
      <c r="F16" s="568">
        <f t="shared" ref="F16:F52" si="4">D16+E16</f>
        <v>21826.5</v>
      </c>
      <c r="G16" s="568">
        <v>10822.8</v>
      </c>
      <c r="H16" s="568">
        <v>761097.5</v>
      </c>
      <c r="I16" s="568">
        <f t="shared" ref="I16:I52" si="5">G16+H16</f>
        <v>771920.3</v>
      </c>
      <c r="J16" s="293">
        <v>182126</v>
      </c>
      <c r="K16" s="293">
        <f t="shared" ref="K16:K52" si="6">B16+C16+F16+I16+J16</f>
        <v>1312690.7000000002</v>
      </c>
    </row>
    <row r="17" spans="1:14" ht="11.45" customHeight="1">
      <c r="A17" s="493" t="s">
        <v>743</v>
      </c>
      <c r="B17" s="562">
        <v>345237.7</v>
      </c>
      <c r="C17" s="562">
        <v>0</v>
      </c>
      <c r="D17" s="562">
        <v>1393</v>
      </c>
      <c r="E17" s="562">
        <v>20807.8</v>
      </c>
      <c r="F17" s="562">
        <f t="shared" si="4"/>
        <v>22200.799999999999</v>
      </c>
      <c r="G17" s="562">
        <v>10800.9</v>
      </c>
      <c r="H17" s="562">
        <v>770069</v>
      </c>
      <c r="I17" s="562">
        <f t="shared" si="5"/>
        <v>780869.9</v>
      </c>
      <c r="J17" s="360">
        <v>182078.6</v>
      </c>
      <c r="K17" s="360">
        <f t="shared" si="6"/>
        <v>1330387</v>
      </c>
      <c r="L17" s="657"/>
    </row>
    <row r="18" spans="1:14" ht="11.45" customHeight="1">
      <c r="A18" s="479" t="s">
        <v>737</v>
      </c>
      <c r="B18" s="568">
        <v>343600.9</v>
      </c>
      <c r="C18" s="568">
        <v>0</v>
      </c>
      <c r="D18" s="568">
        <v>1393.8</v>
      </c>
      <c r="E18" s="568">
        <v>21309.4</v>
      </c>
      <c r="F18" s="568">
        <f t="shared" si="4"/>
        <v>22703.200000000001</v>
      </c>
      <c r="G18" s="568">
        <v>11029.2</v>
      </c>
      <c r="H18" s="568">
        <v>776926.9</v>
      </c>
      <c r="I18" s="568">
        <f t="shared" si="5"/>
        <v>787956.1</v>
      </c>
      <c r="J18" s="293">
        <v>183415.1</v>
      </c>
      <c r="K18" s="293">
        <f t="shared" si="6"/>
        <v>1337675.3</v>
      </c>
      <c r="L18" s="657"/>
    </row>
    <row r="19" spans="1:14" ht="11.45" customHeight="1">
      <c r="A19" s="493" t="s">
        <v>744</v>
      </c>
      <c r="B19" s="562">
        <v>348476.19999999995</v>
      </c>
      <c r="C19" s="562">
        <v>0</v>
      </c>
      <c r="D19" s="562">
        <v>1396.3</v>
      </c>
      <c r="E19" s="562">
        <v>21541.200000000001</v>
      </c>
      <c r="F19" s="562">
        <f t="shared" si="4"/>
        <v>22937.5</v>
      </c>
      <c r="G19" s="562">
        <v>11549.4</v>
      </c>
      <c r="H19" s="562">
        <v>788084.5</v>
      </c>
      <c r="I19" s="562">
        <f t="shared" si="5"/>
        <v>799633.9</v>
      </c>
      <c r="J19" s="360">
        <v>185777.7</v>
      </c>
      <c r="K19" s="360">
        <f t="shared" si="6"/>
        <v>1356825.3</v>
      </c>
      <c r="L19" s="657"/>
    </row>
    <row r="20" spans="1:14" ht="11.45" customHeight="1">
      <c r="A20" s="479" t="s">
        <v>745</v>
      </c>
      <c r="B20" s="568">
        <v>354452.7</v>
      </c>
      <c r="C20" s="568">
        <v>0</v>
      </c>
      <c r="D20" s="568">
        <v>1512.6</v>
      </c>
      <c r="E20" s="568">
        <v>22381.599999999999</v>
      </c>
      <c r="F20" s="568">
        <f t="shared" si="4"/>
        <v>23894.199999999997</v>
      </c>
      <c r="G20" s="568">
        <v>12251.6</v>
      </c>
      <c r="H20" s="568">
        <v>796895.7</v>
      </c>
      <c r="I20" s="568">
        <f t="shared" si="5"/>
        <v>809147.29999999993</v>
      </c>
      <c r="J20" s="293">
        <v>187089</v>
      </c>
      <c r="K20" s="293">
        <f t="shared" si="6"/>
        <v>1374583.2</v>
      </c>
      <c r="L20" s="657"/>
    </row>
    <row r="21" spans="1:14" ht="11.45" customHeight="1">
      <c r="A21" s="493" t="s">
        <v>738</v>
      </c>
      <c r="B21" s="562">
        <v>358178.69999999995</v>
      </c>
      <c r="C21" s="562">
        <v>0</v>
      </c>
      <c r="D21" s="562">
        <v>1948.6</v>
      </c>
      <c r="E21" s="562">
        <v>24355.200000000001</v>
      </c>
      <c r="F21" s="562">
        <f t="shared" si="4"/>
        <v>26303.8</v>
      </c>
      <c r="G21" s="562">
        <v>13104.4</v>
      </c>
      <c r="H21" s="562">
        <v>808091.3</v>
      </c>
      <c r="I21" s="562">
        <f t="shared" si="5"/>
        <v>821195.70000000007</v>
      </c>
      <c r="J21" s="360">
        <v>191683.6</v>
      </c>
      <c r="K21" s="360">
        <f t="shared" si="6"/>
        <v>1397361.8</v>
      </c>
      <c r="L21" s="657"/>
    </row>
    <row r="22" spans="1:14" ht="11.45" customHeight="1">
      <c r="A22" s="479" t="s">
        <v>746</v>
      </c>
      <c r="B22" s="568">
        <v>364951.6</v>
      </c>
      <c r="C22" s="568">
        <v>0</v>
      </c>
      <c r="D22" s="568">
        <v>1929.4</v>
      </c>
      <c r="E22" s="568">
        <v>24751.1</v>
      </c>
      <c r="F22" s="568">
        <f t="shared" si="4"/>
        <v>26680.5</v>
      </c>
      <c r="G22" s="568">
        <v>13910.6</v>
      </c>
      <c r="H22" s="568">
        <v>812359.7</v>
      </c>
      <c r="I22" s="568">
        <f t="shared" si="5"/>
        <v>826270.29999999993</v>
      </c>
      <c r="J22" s="293">
        <v>192693.1</v>
      </c>
      <c r="K22" s="293">
        <f t="shared" si="6"/>
        <v>1410595.5</v>
      </c>
      <c r="L22" s="657"/>
    </row>
    <row r="23" spans="1:14" ht="11.45" customHeight="1">
      <c r="A23" s="493" t="s">
        <v>747</v>
      </c>
      <c r="B23" s="562">
        <v>363563.3</v>
      </c>
      <c r="C23" s="562">
        <v>0</v>
      </c>
      <c r="D23" s="562">
        <v>1932.8</v>
      </c>
      <c r="E23" s="562">
        <v>25240.2</v>
      </c>
      <c r="F23" s="562">
        <f t="shared" si="4"/>
        <v>27173</v>
      </c>
      <c r="G23" s="562">
        <v>13777.6</v>
      </c>
      <c r="H23" s="562">
        <v>818468.8</v>
      </c>
      <c r="I23" s="562">
        <f t="shared" si="5"/>
        <v>832246.4</v>
      </c>
      <c r="J23" s="360">
        <v>194182.8</v>
      </c>
      <c r="K23" s="360">
        <f t="shared" si="6"/>
        <v>1417165.5</v>
      </c>
      <c r="L23" s="657"/>
    </row>
    <row r="24" spans="1:14" ht="11.45" customHeight="1">
      <c r="A24" s="479" t="s">
        <v>739</v>
      </c>
      <c r="B24" s="568">
        <v>367293.9</v>
      </c>
      <c r="C24" s="568">
        <v>0</v>
      </c>
      <c r="D24" s="568">
        <v>1824.4</v>
      </c>
      <c r="E24" s="568">
        <v>25401</v>
      </c>
      <c r="F24" s="568">
        <f t="shared" si="4"/>
        <v>27225.4</v>
      </c>
      <c r="G24" s="568">
        <v>13897</v>
      </c>
      <c r="H24" s="568">
        <v>826658.5</v>
      </c>
      <c r="I24" s="568">
        <f t="shared" si="5"/>
        <v>840555.5</v>
      </c>
      <c r="J24" s="293">
        <v>196128.9</v>
      </c>
      <c r="K24" s="293">
        <f t="shared" si="6"/>
        <v>1431203.7</v>
      </c>
      <c r="L24" s="657"/>
    </row>
    <row r="25" spans="1:14" ht="11.45" customHeight="1">
      <c r="A25" s="493" t="s">
        <v>748</v>
      </c>
      <c r="B25" s="562">
        <v>371868.9</v>
      </c>
      <c r="C25" s="562">
        <v>0</v>
      </c>
      <c r="D25" s="562">
        <v>1801.6</v>
      </c>
      <c r="E25" s="562">
        <v>27764.799999999999</v>
      </c>
      <c r="F25" s="562">
        <f t="shared" si="4"/>
        <v>29566.399999999998</v>
      </c>
      <c r="G25" s="562">
        <v>13254.8</v>
      </c>
      <c r="H25" s="562">
        <v>830169.2</v>
      </c>
      <c r="I25" s="562">
        <f t="shared" si="5"/>
        <v>843424</v>
      </c>
      <c r="J25" s="360">
        <v>198586.7</v>
      </c>
      <c r="K25" s="360">
        <f t="shared" si="6"/>
        <v>1443446</v>
      </c>
      <c r="L25" s="657"/>
    </row>
    <row r="26" spans="1:14" ht="11.45" customHeight="1">
      <c r="A26" s="479" t="s">
        <v>749</v>
      </c>
      <c r="B26" s="568">
        <v>394789</v>
      </c>
      <c r="C26" s="568">
        <v>0</v>
      </c>
      <c r="D26" s="568">
        <v>2256.4</v>
      </c>
      <c r="E26" s="568">
        <v>27921.1</v>
      </c>
      <c r="F26" s="568">
        <f t="shared" si="4"/>
        <v>30177.5</v>
      </c>
      <c r="G26" s="568">
        <v>13626.4</v>
      </c>
      <c r="H26" s="568">
        <v>840591.5</v>
      </c>
      <c r="I26" s="568">
        <f t="shared" si="5"/>
        <v>854217.9</v>
      </c>
      <c r="J26" s="293">
        <v>201487</v>
      </c>
      <c r="K26" s="293">
        <f t="shared" si="6"/>
        <v>1480671.4</v>
      </c>
      <c r="L26" s="657"/>
    </row>
    <row r="27" spans="1:14" ht="11.45" customHeight="1">
      <c r="A27" s="493" t="s">
        <v>740</v>
      </c>
      <c r="B27" s="562">
        <v>398418.5</v>
      </c>
      <c r="C27" s="562">
        <v>0</v>
      </c>
      <c r="D27" s="562">
        <v>2252.4</v>
      </c>
      <c r="E27" s="562">
        <v>28546.6</v>
      </c>
      <c r="F27" s="562">
        <f t="shared" si="4"/>
        <v>30799</v>
      </c>
      <c r="G27" s="562">
        <v>12577.7</v>
      </c>
      <c r="H27" s="562">
        <v>846542.1</v>
      </c>
      <c r="I27" s="562">
        <f t="shared" si="5"/>
        <v>859119.79999999993</v>
      </c>
      <c r="J27" s="360">
        <v>203477.6</v>
      </c>
      <c r="K27" s="360">
        <f t="shared" si="6"/>
        <v>1491814.9</v>
      </c>
      <c r="L27" s="657"/>
    </row>
    <row r="28" spans="1:14" ht="11.45" customHeight="1">
      <c r="A28" s="1283" t="s">
        <v>2017</v>
      </c>
      <c r="B28" s="688">
        <f>B40</f>
        <v>483323.5</v>
      </c>
      <c r="C28" s="688">
        <f t="shared" ref="C28:K28" si="7">C40</f>
        <v>0</v>
      </c>
      <c r="D28" s="688">
        <f t="shared" si="7"/>
        <v>2519.4</v>
      </c>
      <c r="E28" s="688">
        <f t="shared" si="7"/>
        <v>30302.1</v>
      </c>
      <c r="F28" s="688">
        <f t="shared" si="7"/>
        <v>32821.5</v>
      </c>
      <c r="G28" s="688">
        <f t="shared" si="7"/>
        <v>17966.599999999999</v>
      </c>
      <c r="H28" s="688">
        <f t="shared" si="7"/>
        <v>922464.1</v>
      </c>
      <c r="I28" s="688">
        <f t="shared" si="7"/>
        <v>940430.7</v>
      </c>
      <c r="J28" s="688">
        <f t="shared" si="7"/>
        <v>214172.7</v>
      </c>
      <c r="K28" s="688">
        <f t="shared" si="7"/>
        <v>1670748.4</v>
      </c>
      <c r="L28" s="657"/>
    </row>
    <row r="29" spans="1:14" ht="11.45" customHeight="1">
      <c r="A29" s="493" t="s">
        <v>742</v>
      </c>
      <c r="B29" s="562">
        <v>417296.4</v>
      </c>
      <c r="C29" s="562">
        <v>0</v>
      </c>
      <c r="D29" s="562">
        <v>2227.6</v>
      </c>
      <c r="E29" s="562">
        <v>27878.3</v>
      </c>
      <c r="F29" s="562">
        <f t="shared" si="4"/>
        <v>30105.899999999998</v>
      </c>
      <c r="G29" s="562">
        <v>13528.8</v>
      </c>
      <c r="H29" s="562">
        <v>840310.1</v>
      </c>
      <c r="I29" s="562">
        <f t="shared" si="5"/>
        <v>853838.9</v>
      </c>
      <c r="J29" s="360">
        <v>202814.9</v>
      </c>
      <c r="K29" s="360">
        <f t="shared" si="6"/>
        <v>1504056.1</v>
      </c>
      <c r="L29" s="657"/>
      <c r="M29" s="657"/>
      <c r="N29" s="657"/>
    </row>
    <row r="30" spans="1:14" ht="11.45" customHeight="1">
      <c r="A30" s="479" t="s">
        <v>743</v>
      </c>
      <c r="B30" s="35">
        <v>427217.2</v>
      </c>
      <c r="C30" s="568">
        <v>0</v>
      </c>
      <c r="D30" s="568">
        <v>2232.5</v>
      </c>
      <c r="E30" s="568">
        <v>27459.599999999999</v>
      </c>
      <c r="F30" s="568">
        <f t="shared" si="4"/>
        <v>29692.1</v>
      </c>
      <c r="G30" s="568">
        <v>13531</v>
      </c>
      <c r="H30" s="568">
        <v>846077.6</v>
      </c>
      <c r="I30" s="568">
        <f t="shared" si="5"/>
        <v>859608.6</v>
      </c>
      <c r="J30" s="293">
        <v>202510.3</v>
      </c>
      <c r="K30" s="293">
        <f t="shared" si="6"/>
        <v>1519028.2</v>
      </c>
      <c r="L30" s="657"/>
      <c r="M30" s="657"/>
      <c r="N30" s="657"/>
    </row>
    <row r="31" spans="1:14" ht="11.45" customHeight="1">
      <c r="A31" s="493" t="s">
        <v>737</v>
      </c>
      <c r="B31" s="370">
        <v>430673.9</v>
      </c>
      <c r="C31" s="562">
        <v>0</v>
      </c>
      <c r="D31" s="562">
        <v>2229.6999999999998</v>
      </c>
      <c r="E31" s="562">
        <v>28064.9</v>
      </c>
      <c r="F31" s="562">
        <f t="shared" si="4"/>
        <v>30294.600000000002</v>
      </c>
      <c r="G31" s="562">
        <v>14896.9</v>
      </c>
      <c r="H31" s="562">
        <v>853734.2</v>
      </c>
      <c r="I31" s="562">
        <f t="shared" si="5"/>
        <v>868631.1</v>
      </c>
      <c r="J31" s="360">
        <v>203273.99999999968</v>
      </c>
      <c r="K31" s="360">
        <f t="shared" si="6"/>
        <v>1532873.5999999999</v>
      </c>
      <c r="L31" s="657"/>
      <c r="M31" s="657"/>
      <c r="N31" s="657"/>
    </row>
    <row r="32" spans="1:14" ht="11.45" customHeight="1">
      <c r="A32" s="479" t="s">
        <v>744</v>
      </c>
      <c r="B32" s="69">
        <v>438518</v>
      </c>
      <c r="C32" s="568">
        <v>0</v>
      </c>
      <c r="D32" s="568">
        <v>2299.4</v>
      </c>
      <c r="E32" s="568">
        <v>27956.1</v>
      </c>
      <c r="F32" s="568">
        <f t="shared" si="4"/>
        <v>30255.5</v>
      </c>
      <c r="G32" s="568">
        <v>14590</v>
      </c>
      <c r="H32" s="568">
        <v>861867.7</v>
      </c>
      <c r="I32" s="568">
        <f t="shared" si="5"/>
        <v>876457.7</v>
      </c>
      <c r="J32" s="293">
        <v>204934.19999999987</v>
      </c>
      <c r="K32" s="293">
        <f t="shared" si="6"/>
        <v>1550165.4</v>
      </c>
      <c r="L32" s="657"/>
      <c r="M32" s="657"/>
      <c r="N32" s="657"/>
    </row>
    <row r="33" spans="1:15" ht="11.45" customHeight="1">
      <c r="A33" s="493" t="s">
        <v>745</v>
      </c>
      <c r="B33" s="1127">
        <v>446364.9</v>
      </c>
      <c r="C33" s="562">
        <v>0</v>
      </c>
      <c r="D33" s="562">
        <v>2326.8000000000002</v>
      </c>
      <c r="E33" s="562">
        <v>28414.799999999999</v>
      </c>
      <c r="F33" s="562">
        <f t="shared" si="4"/>
        <v>30741.599999999999</v>
      </c>
      <c r="G33" s="562">
        <v>15686.5</v>
      </c>
      <c r="H33" s="562">
        <v>869329.3</v>
      </c>
      <c r="I33" s="562">
        <f t="shared" si="5"/>
        <v>885015.8</v>
      </c>
      <c r="J33" s="360">
        <v>207038.4</v>
      </c>
      <c r="K33" s="360">
        <f t="shared" si="6"/>
        <v>1569160.7</v>
      </c>
      <c r="L33" s="657"/>
      <c r="M33" s="657"/>
      <c r="N33" s="657"/>
    </row>
    <row r="34" spans="1:15" ht="11.45" customHeight="1">
      <c r="A34" s="479" t="s">
        <v>738</v>
      </c>
      <c r="B34" s="587">
        <v>449427.30000000005</v>
      </c>
      <c r="C34" s="568">
        <v>0</v>
      </c>
      <c r="D34" s="568">
        <v>2523.1</v>
      </c>
      <c r="E34" s="568">
        <v>28342.7</v>
      </c>
      <c r="F34" s="568">
        <f t="shared" si="4"/>
        <v>30865.8</v>
      </c>
      <c r="G34" s="568">
        <v>19270.8</v>
      </c>
      <c r="H34" s="568">
        <v>885068.3</v>
      </c>
      <c r="I34" s="568">
        <f t="shared" si="5"/>
        <v>904339.10000000009</v>
      </c>
      <c r="J34" s="293">
        <v>210291.7</v>
      </c>
      <c r="K34" s="293">
        <f t="shared" si="6"/>
        <v>1594923.9000000001</v>
      </c>
      <c r="L34" s="657"/>
      <c r="M34" s="657"/>
      <c r="N34" s="657"/>
    </row>
    <row r="35" spans="1:15" ht="11.45" customHeight="1">
      <c r="A35" s="493" t="s">
        <v>746</v>
      </c>
      <c r="B35" s="1127">
        <v>458117.8</v>
      </c>
      <c r="C35" s="562">
        <v>0</v>
      </c>
      <c r="D35" s="562">
        <v>2495.4</v>
      </c>
      <c r="E35" s="562">
        <v>28406.2</v>
      </c>
      <c r="F35" s="562">
        <f t="shared" si="4"/>
        <v>30901.600000000002</v>
      </c>
      <c r="G35" s="562">
        <v>18484.5</v>
      </c>
      <c r="H35" s="562">
        <v>882419.7</v>
      </c>
      <c r="I35" s="562">
        <f t="shared" si="5"/>
        <v>900904.2</v>
      </c>
      <c r="J35" s="360">
        <v>210829.70000000019</v>
      </c>
      <c r="K35" s="562">
        <f t="shared" si="6"/>
        <v>1600753.3</v>
      </c>
      <c r="L35" s="657"/>
      <c r="M35" s="657"/>
      <c r="N35" s="657"/>
    </row>
    <row r="36" spans="1:15" ht="11.45" customHeight="1">
      <c r="A36" s="479" t="s">
        <v>747</v>
      </c>
      <c r="B36" s="587">
        <v>459423.6</v>
      </c>
      <c r="C36" s="568">
        <v>0</v>
      </c>
      <c r="D36" s="568">
        <v>2501.9</v>
      </c>
      <c r="E36" s="568">
        <v>28862.6</v>
      </c>
      <c r="F36" s="568">
        <f t="shared" si="4"/>
        <v>31364.5</v>
      </c>
      <c r="G36" s="568">
        <v>18794.7</v>
      </c>
      <c r="H36" s="568">
        <v>887806.7</v>
      </c>
      <c r="I36" s="568">
        <f t="shared" si="5"/>
        <v>906601.39999999991</v>
      </c>
      <c r="J36" s="293">
        <v>212477.8</v>
      </c>
      <c r="K36" s="293">
        <f t="shared" si="6"/>
        <v>1609867.3</v>
      </c>
      <c r="L36" s="657"/>
      <c r="M36" s="657"/>
      <c r="N36" s="657"/>
    </row>
    <row r="37" spans="1:15" ht="11.45" customHeight="1">
      <c r="A37" s="493" t="s">
        <v>739</v>
      </c>
      <c r="B37" s="1127">
        <v>432501.6</v>
      </c>
      <c r="C37" s="562">
        <v>0</v>
      </c>
      <c r="D37" s="562">
        <v>2507.4</v>
      </c>
      <c r="E37" s="562">
        <v>28976.9</v>
      </c>
      <c r="F37" s="562">
        <f t="shared" si="4"/>
        <v>31484.300000000003</v>
      </c>
      <c r="G37" s="562">
        <v>18930.2</v>
      </c>
      <c r="H37" s="562">
        <v>895586.4</v>
      </c>
      <c r="I37" s="562">
        <f t="shared" si="5"/>
        <v>914516.6</v>
      </c>
      <c r="J37" s="360">
        <v>212010.7</v>
      </c>
      <c r="K37" s="360">
        <f t="shared" si="6"/>
        <v>1590513.2</v>
      </c>
      <c r="L37" s="657"/>
      <c r="M37" s="657"/>
      <c r="N37" s="657"/>
    </row>
    <row r="38" spans="1:15" ht="11.45" customHeight="1">
      <c r="A38" s="479" t="s">
        <v>748</v>
      </c>
      <c r="B38" s="587">
        <v>466506.3</v>
      </c>
      <c r="C38" s="568">
        <v>0</v>
      </c>
      <c r="D38" s="568">
        <v>2509.5</v>
      </c>
      <c r="E38" s="568">
        <v>29672.3</v>
      </c>
      <c r="F38" s="568">
        <f t="shared" si="4"/>
        <v>32181.8</v>
      </c>
      <c r="G38" s="568">
        <v>18701.900000000001</v>
      </c>
      <c r="H38" s="568">
        <v>903079.4</v>
      </c>
      <c r="I38" s="568">
        <f t="shared" si="5"/>
        <v>921781.3</v>
      </c>
      <c r="J38" s="293">
        <v>212132.6</v>
      </c>
      <c r="K38" s="293">
        <f t="shared" si="6"/>
        <v>1632602</v>
      </c>
      <c r="L38" s="657"/>
      <c r="M38" s="657"/>
      <c r="N38" s="657"/>
    </row>
    <row r="39" spans="1:15" ht="11.45" customHeight="1">
      <c r="A39" s="493" t="s">
        <v>749</v>
      </c>
      <c r="B39" s="1127">
        <v>461247.4</v>
      </c>
      <c r="C39" s="562">
        <v>0</v>
      </c>
      <c r="D39" s="562">
        <v>2509.6</v>
      </c>
      <c r="E39" s="562">
        <v>29866.400000000001</v>
      </c>
      <c r="F39" s="562">
        <f t="shared" si="4"/>
        <v>32376</v>
      </c>
      <c r="G39" s="562">
        <v>18617.400000000001</v>
      </c>
      <c r="H39" s="562">
        <v>916667.7</v>
      </c>
      <c r="I39" s="562">
        <f t="shared" si="5"/>
        <v>935285.1</v>
      </c>
      <c r="J39" s="360">
        <v>212819.7</v>
      </c>
      <c r="K39" s="360">
        <f t="shared" si="6"/>
        <v>1641728.2</v>
      </c>
      <c r="L39" s="657"/>
      <c r="M39" s="657"/>
      <c r="N39" s="657"/>
    </row>
    <row r="40" spans="1:15" ht="11.45" customHeight="1">
      <c r="A40" s="479" t="s">
        <v>740</v>
      </c>
      <c r="B40" s="587">
        <v>483323.5</v>
      </c>
      <c r="C40" s="568">
        <v>0</v>
      </c>
      <c r="D40" s="568">
        <v>2519.4</v>
      </c>
      <c r="E40" s="568">
        <v>30302.1</v>
      </c>
      <c r="F40" s="568">
        <f t="shared" si="4"/>
        <v>32821.5</v>
      </c>
      <c r="G40" s="568">
        <v>17966.599999999999</v>
      </c>
      <c r="H40" s="568">
        <v>922464.1</v>
      </c>
      <c r="I40" s="568">
        <f t="shared" si="5"/>
        <v>940430.7</v>
      </c>
      <c r="J40" s="293">
        <v>214172.7</v>
      </c>
      <c r="K40" s="293">
        <f t="shared" si="6"/>
        <v>1670748.4</v>
      </c>
      <c r="L40" s="657"/>
      <c r="M40" s="657"/>
      <c r="N40" s="657"/>
    </row>
    <row r="41" spans="1:15" ht="11.45" customHeight="1">
      <c r="A41" s="1410" t="s">
        <v>2114</v>
      </c>
      <c r="B41" s="1127"/>
      <c r="C41" s="562"/>
      <c r="D41" s="562"/>
      <c r="E41" s="562"/>
      <c r="F41" s="562"/>
      <c r="G41" s="562"/>
      <c r="H41" s="562"/>
      <c r="I41" s="562"/>
      <c r="J41" s="360"/>
      <c r="K41" s="360"/>
      <c r="L41" s="657"/>
      <c r="M41" s="657"/>
    </row>
    <row r="42" spans="1:15" ht="11.45" customHeight="1">
      <c r="A42" s="479" t="s">
        <v>742</v>
      </c>
      <c r="B42" s="546">
        <v>502557.29999999993</v>
      </c>
      <c r="C42" s="568">
        <v>0</v>
      </c>
      <c r="D42" s="568">
        <v>2509.6</v>
      </c>
      <c r="E42" s="568">
        <v>29400.5</v>
      </c>
      <c r="F42" s="568">
        <f t="shared" si="4"/>
        <v>31910.1</v>
      </c>
      <c r="G42" s="568">
        <v>17873</v>
      </c>
      <c r="H42" s="568">
        <v>920451.4</v>
      </c>
      <c r="I42" s="568">
        <f t="shared" si="5"/>
        <v>938324.4</v>
      </c>
      <c r="J42" s="293">
        <v>214428.00000000017</v>
      </c>
      <c r="K42" s="293">
        <f t="shared" si="6"/>
        <v>1687219.8</v>
      </c>
      <c r="L42" s="657"/>
      <c r="M42" s="657"/>
      <c r="N42" s="657"/>
      <c r="O42" s="657"/>
    </row>
    <row r="43" spans="1:15" ht="11.45" customHeight="1">
      <c r="A43" s="493" t="s">
        <v>743</v>
      </c>
      <c r="B43" s="567">
        <v>504744.4</v>
      </c>
      <c r="C43" s="562">
        <v>0</v>
      </c>
      <c r="D43" s="562">
        <v>2518.1999999999998</v>
      </c>
      <c r="E43" s="562">
        <v>28404.5</v>
      </c>
      <c r="F43" s="562">
        <f t="shared" si="4"/>
        <v>30922.7</v>
      </c>
      <c r="G43" s="562">
        <v>18268.8</v>
      </c>
      <c r="H43" s="562">
        <v>926682.5</v>
      </c>
      <c r="I43" s="562">
        <f t="shared" si="5"/>
        <v>944951.3</v>
      </c>
      <c r="J43" s="360">
        <v>214429.2000000001</v>
      </c>
      <c r="K43" s="360">
        <f t="shared" si="6"/>
        <v>1695047.6</v>
      </c>
      <c r="L43" s="657"/>
      <c r="M43" s="657"/>
      <c r="N43" s="657"/>
      <c r="O43" s="657"/>
    </row>
    <row r="44" spans="1:15" ht="11.45" customHeight="1">
      <c r="A44" s="479" t="s">
        <v>737</v>
      </c>
      <c r="B44" s="546">
        <v>504494</v>
      </c>
      <c r="C44" s="568">
        <v>0</v>
      </c>
      <c r="D44" s="568">
        <v>2519.1999999999998</v>
      </c>
      <c r="E44" s="568">
        <v>28321.4</v>
      </c>
      <c r="F44" s="568">
        <f t="shared" si="4"/>
        <v>30840.600000000002</v>
      </c>
      <c r="G44" s="568">
        <v>18233.2</v>
      </c>
      <c r="H44" s="568">
        <v>937219.8</v>
      </c>
      <c r="I44" s="568">
        <f t="shared" si="5"/>
        <v>955453</v>
      </c>
      <c r="J44" s="293">
        <v>214991.3</v>
      </c>
      <c r="K44" s="293">
        <f t="shared" si="6"/>
        <v>1705778.9000000001</v>
      </c>
      <c r="L44" s="657"/>
      <c r="M44" s="657"/>
      <c r="N44" s="657"/>
      <c r="O44" s="657"/>
    </row>
    <row r="45" spans="1:15" ht="11.45" customHeight="1">
      <c r="A45" s="493" t="s">
        <v>744</v>
      </c>
      <c r="B45" s="567">
        <v>509795</v>
      </c>
      <c r="C45" s="562">
        <v>0</v>
      </c>
      <c r="D45" s="562">
        <v>2587.1</v>
      </c>
      <c r="E45" s="562">
        <v>27370.400000000001</v>
      </c>
      <c r="F45" s="562">
        <f t="shared" si="4"/>
        <v>29957.5</v>
      </c>
      <c r="G45" s="562">
        <v>18579.599999999999</v>
      </c>
      <c r="H45" s="562">
        <v>940661.7</v>
      </c>
      <c r="I45" s="562">
        <f t="shared" si="5"/>
        <v>959241.29999999993</v>
      </c>
      <c r="J45" s="360">
        <v>216335</v>
      </c>
      <c r="K45" s="360">
        <f t="shared" si="6"/>
        <v>1715328.7999999998</v>
      </c>
      <c r="L45" s="657"/>
      <c r="M45" s="657"/>
      <c r="N45" s="657"/>
      <c r="O45" s="657"/>
    </row>
    <row r="46" spans="1:15" ht="11.45" customHeight="1">
      <c r="A46" s="479" t="s">
        <v>745</v>
      </c>
      <c r="B46" s="546">
        <v>514478.79999999993</v>
      </c>
      <c r="C46" s="568">
        <v>0</v>
      </c>
      <c r="D46" s="568">
        <v>2606.6</v>
      </c>
      <c r="E46" s="568">
        <v>27520</v>
      </c>
      <c r="F46" s="568">
        <f t="shared" si="4"/>
        <v>30126.6</v>
      </c>
      <c r="G46" s="568">
        <v>19304.7</v>
      </c>
      <c r="H46" s="568">
        <v>945295.9</v>
      </c>
      <c r="I46" s="568">
        <f t="shared" si="5"/>
        <v>964600.6</v>
      </c>
      <c r="J46" s="293">
        <v>218214.5</v>
      </c>
      <c r="K46" s="293">
        <f t="shared" si="6"/>
        <v>1727420.5</v>
      </c>
      <c r="L46" s="657"/>
      <c r="M46" s="657"/>
      <c r="N46" s="657"/>
      <c r="O46" s="657"/>
    </row>
    <row r="47" spans="1:15" ht="11.45" customHeight="1">
      <c r="A47" s="493" t="s">
        <v>738</v>
      </c>
      <c r="B47" s="567">
        <v>514086.5</v>
      </c>
      <c r="C47" s="562">
        <v>0</v>
      </c>
      <c r="D47" s="562">
        <v>2594.1999999999998</v>
      </c>
      <c r="E47" s="562">
        <v>29863.8</v>
      </c>
      <c r="F47" s="562">
        <f t="shared" si="4"/>
        <v>32458</v>
      </c>
      <c r="G47" s="562">
        <v>19723.900000000001</v>
      </c>
      <c r="H47" s="562">
        <v>959926.7</v>
      </c>
      <c r="I47" s="562">
        <f t="shared" si="5"/>
        <v>979650.6</v>
      </c>
      <c r="J47" s="360">
        <v>222350.2</v>
      </c>
      <c r="K47" s="360">
        <f t="shared" si="6"/>
        <v>1748545.3</v>
      </c>
      <c r="L47" s="657"/>
      <c r="M47" s="657"/>
      <c r="N47" s="657"/>
      <c r="O47" s="657"/>
    </row>
    <row r="48" spans="1:15" ht="11.45" customHeight="1">
      <c r="A48" s="479" t="s">
        <v>746</v>
      </c>
      <c r="B48" s="546">
        <v>519255.1</v>
      </c>
      <c r="C48" s="568">
        <v>0</v>
      </c>
      <c r="D48" s="568">
        <v>2554.8000000000002</v>
      </c>
      <c r="E48" s="568">
        <v>29900.3</v>
      </c>
      <c r="F48" s="568">
        <f t="shared" si="4"/>
        <v>32455.1</v>
      </c>
      <c r="G48" s="568">
        <v>19469.599999999999</v>
      </c>
      <c r="H48" s="568">
        <v>957084.3</v>
      </c>
      <c r="I48" s="568">
        <f t="shared" si="5"/>
        <v>976553.9</v>
      </c>
      <c r="J48" s="293">
        <v>223748.1</v>
      </c>
      <c r="K48" s="293">
        <f t="shared" si="6"/>
        <v>1752012.2000000002</v>
      </c>
      <c r="L48" s="657"/>
      <c r="M48" s="657"/>
      <c r="N48" s="657"/>
      <c r="O48" s="657"/>
    </row>
    <row r="49" spans="1:15" ht="11.45" customHeight="1">
      <c r="A49" s="493" t="s">
        <v>747</v>
      </c>
      <c r="B49" s="567">
        <v>510921.2</v>
      </c>
      <c r="C49" s="562">
        <v>0</v>
      </c>
      <c r="D49" s="562">
        <v>2519.1999999999998</v>
      </c>
      <c r="E49" s="562">
        <v>30004.5</v>
      </c>
      <c r="F49" s="562">
        <f t="shared" si="4"/>
        <v>32523.7</v>
      </c>
      <c r="G49" s="562">
        <v>19949.400000000001</v>
      </c>
      <c r="H49" s="562">
        <v>967716.8</v>
      </c>
      <c r="I49" s="562">
        <f t="shared" si="5"/>
        <v>987666.20000000007</v>
      </c>
      <c r="J49" s="360">
        <v>226883.8</v>
      </c>
      <c r="K49" s="360">
        <f t="shared" si="6"/>
        <v>1757994.9000000001</v>
      </c>
      <c r="L49" s="657"/>
      <c r="M49" s="657"/>
      <c r="N49" s="657"/>
      <c r="O49" s="657"/>
    </row>
    <row r="50" spans="1:15" ht="11.45" customHeight="1">
      <c r="A50" s="479" t="s">
        <v>739</v>
      </c>
      <c r="B50" s="546">
        <v>513967.5</v>
      </c>
      <c r="C50" s="568">
        <v>0</v>
      </c>
      <c r="D50" s="568">
        <v>2518.9</v>
      </c>
      <c r="E50" s="568">
        <v>30934.400000000001</v>
      </c>
      <c r="F50" s="568">
        <f t="shared" si="4"/>
        <v>33453.300000000003</v>
      </c>
      <c r="G50" s="568">
        <v>19843.400000000001</v>
      </c>
      <c r="H50" s="568">
        <v>971006.9</v>
      </c>
      <c r="I50" s="568">
        <f t="shared" si="5"/>
        <v>990850.3</v>
      </c>
      <c r="J50" s="293">
        <v>229958.39999999999</v>
      </c>
      <c r="K50" s="293">
        <f t="shared" si="6"/>
        <v>1768229.5</v>
      </c>
      <c r="L50" s="657"/>
      <c r="M50" s="657"/>
      <c r="N50" s="657"/>
      <c r="O50" s="657"/>
    </row>
    <row r="51" spans="1:15" ht="11.45" customHeight="1">
      <c r="A51" s="493" t="s">
        <v>748</v>
      </c>
      <c r="B51" s="567">
        <v>523707.30000000005</v>
      </c>
      <c r="C51" s="562">
        <v>0</v>
      </c>
      <c r="D51" s="562">
        <v>2517.6999999999998</v>
      </c>
      <c r="E51" s="562">
        <v>29861.1</v>
      </c>
      <c r="F51" s="562">
        <f t="shared" si="4"/>
        <v>32378.799999999999</v>
      </c>
      <c r="G51" s="562">
        <v>19170.7</v>
      </c>
      <c r="H51" s="562">
        <v>974622.8</v>
      </c>
      <c r="I51" s="562">
        <f t="shared" si="5"/>
        <v>993793.5</v>
      </c>
      <c r="J51" s="360">
        <v>230985.19999999995</v>
      </c>
      <c r="K51" s="360">
        <f t="shared" si="6"/>
        <v>1780864.8</v>
      </c>
      <c r="L51" s="657"/>
      <c r="M51" s="657"/>
      <c r="N51" s="657"/>
      <c r="O51" s="657"/>
    </row>
    <row r="52" spans="1:15" ht="11.45" customHeight="1" thickBot="1">
      <c r="A52" s="1563" t="s">
        <v>749</v>
      </c>
      <c r="B52" s="1564">
        <v>536655.19999999995</v>
      </c>
      <c r="C52" s="1083">
        <v>0</v>
      </c>
      <c r="D52" s="1083">
        <v>2526.6</v>
      </c>
      <c r="E52" s="1083">
        <v>29015.7</v>
      </c>
      <c r="F52" s="1083">
        <f t="shared" si="4"/>
        <v>31542.3</v>
      </c>
      <c r="G52" s="1083">
        <v>19203.5</v>
      </c>
      <c r="H52" s="1083">
        <v>982361.4</v>
      </c>
      <c r="I52" s="1083">
        <f t="shared" si="5"/>
        <v>1001564.9</v>
      </c>
      <c r="J52" s="1582">
        <v>231383.8</v>
      </c>
      <c r="K52" s="1582">
        <f t="shared" si="6"/>
        <v>1801146.2</v>
      </c>
      <c r="L52" s="657"/>
      <c r="M52" s="657"/>
      <c r="N52" s="657"/>
      <c r="O52" s="657"/>
    </row>
    <row r="53" spans="1:15" s="593" customFormat="1" ht="13.5" customHeight="1">
      <c r="A53" s="658" t="s">
        <v>252</v>
      </c>
      <c r="B53" s="331" t="s">
        <v>1839</v>
      </c>
      <c r="C53" s="331"/>
      <c r="D53" s="331"/>
      <c r="E53" s="331"/>
      <c r="F53" s="331"/>
      <c r="G53" s="659" t="s">
        <v>1639</v>
      </c>
      <c r="H53" s="660"/>
      <c r="I53" s="660"/>
      <c r="J53" s="660"/>
      <c r="K53" s="660"/>
      <c r="L53" s="657"/>
      <c r="M53" s="663"/>
      <c r="N53" s="657"/>
    </row>
    <row r="54" spans="1:15" s="790" customFormat="1">
      <c r="A54" s="285"/>
      <c r="B54" s="332" t="s">
        <v>1808</v>
      </c>
      <c r="C54" s="332"/>
      <c r="D54" s="332"/>
      <c r="E54" s="332"/>
      <c r="F54" s="332"/>
      <c r="G54" s="332"/>
      <c r="H54" s="332"/>
      <c r="I54" s="332"/>
      <c r="J54" s="332"/>
      <c r="K54" s="332"/>
      <c r="L54" s="657"/>
      <c r="M54" s="959"/>
    </row>
    <row r="55" spans="1:15" s="593" customFormat="1">
      <c r="A55" s="536"/>
      <c r="B55" s="536"/>
      <c r="C55" s="536"/>
      <c r="D55" s="536"/>
      <c r="E55" s="536"/>
      <c r="F55" s="536"/>
      <c r="G55" s="536"/>
      <c r="H55" s="536"/>
      <c r="I55" s="536"/>
      <c r="J55" s="1052"/>
      <c r="K55" s="536"/>
      <c r="L55" s="657"/>
      <c r="M55" s="959"/>
    </row>
    <row r="56" spans="1:15" s="593" customFormat="1">
      <c r="A56" s="1580"/>
      <c r="B56" s="1068"/>
      <c r="C56" s="1084"/>
      <c r="D56" s="1068"/>
      <c r="E56" s="1068"/>
      <c r="F56" s="1068"/>
      <c r="G56" s="1068"/>
      <c r="H56" s="1068"/>
      <c r="I56" s="1068"/>
      <c r="J56" s="1068"/>
      <c r="K56" s="1069"/>
      <c r="L56" s="657"/>
      <c r="M56" s="959"/>
    </row>
    <row r="57" spans="1:15" s="593" customFormat="1">
      <c r="A57" s="1580"/>
      <c r="B57" s="1068"/>
      <c r="C57" s="1084"/>
      <c r="D57" s="1068"/>
      <c r="E57" s="1068"/>
      <c r="F57" s="1068"/>
      <c r="G57" s="1068"/>
      <c r="H57" s="1068"/>
      <c r="I57" s="1068"/>
      <c r="J57" s="1084"/>
      <c r="K57" s="1069"/>
      <c r="L57" s="657"/>
      <c r="M57" s="959"/>
    </row>
    <row r="58" spans="1:15" s="593" customFormat="1">
      <c r="A58" s="1581"/>
      <c r="C58" s="1084"/>
      <c r="D58" s="663"/>
      <c r="E58" s="663"/>
      <c r="F58" s="663"/>
      <c r="G58" s="663"/>
      <c r="H58" s="663"/>
      <c r="I58" s="663"/>
      <c r="J58" s="663"/>
      <c r="K58" s="657"/>
      <c r="L58" s="657"/>
      <c r="M58" s="959"/>
    </row>
    <row r="59" spans="1:15" s="593" customFormat="1">
      <c r="A59" s="1581"/>
      <c r="C59" s="1084"/>
      <c r="D59" s="663"/>
      <c r="E59" s="663"/>
      <c r="F59" s="663"/>
      <c r="G59" s="663"/>
      <c r="H59" s="663"/>
      <c r="I59" s="663"/>
      <c r="J59" s="663"/>
      <c r="K59" s="657"/>
      <c r="L59" s="657"/>
      <c r="M59" s="959"/>
    </row>
    <row r="60" spans="1:15" s="593" customFormat="1">
      <c r="A60" s="1581"/>
      <c r="B60" s="663"/>
      <c r="C60" s="1084"/>
      <c r="D60" s="663"/>
      <c r="E60" s="663"/>
      <c r="F60" s="663"/>
      <c r="G60" s="663"/>
      <c r="H60" s="663"/>
      <c r="I60" s="663"/>
      <c r="J60" s="663"/>
      <c r="K60" s="663"/>
      <c r="L60" s="657"/>
      <c r="M60" s="959"/>
    </row>
    <row r="61" spans="1:15" s="593" customFormat="1">
      <c r="A61" s="1581"/>
      <c r="C61" s="1084"/>
      <c r="D61" s="663"/>
      <c r="E61" s="663"/>
      <c r="F61" s="663"/>
      <c r="G61" s="663"/>
      <c r="H61" s="663"/>
      <c r="I61" s="663"/>
      <c r="K61" s="657"/>
      <c r="L61" s="663"/>
      <c r="M61" s="959"/>
    </row>
    <row r="62" spans="1:15" s="593" customFormat="1">
      <c r="B62" s="663"/>
      <c r="C62" s="663"/>
      <c r="D62" s="663"/>
      <c r="E62" s="663"/>
      <c r="F62" s="663"/>
      <c r="G62" s="663"/>
      <c r="H62" s="663"/>
      <c r="I62" s="663"/>
      <c r="J62" s="663"/>
      <c r="K62" s="663"/>
      <c r="L62" s="663"/>
      <c r="M62" s="959"/>
    </row>
    <row r="63" spans="1:15" s="593" customFormat="1">
      <c r="B63" s="663"/>
      <c r="C63" s="663"/>
      <c r="D63" s="663"/>
      <c r="E63" s="663"/>
      <c r="F63" s="663"/>
      <c r="G63" s="663"/>
      <c r="H63" s="663"/>
      <c r="I63" s="663"/>
      <c r="J63" s="663"/>
      <c r="K63" s="663"/>
      <c r="L63" s="663"/>
    </row>
    <row r="64" spans="1:15" s="593" customFormat="1">
      <c r="B64" s="663"/>
      <c r="C64" s="663"/>
      <c r="D64" s="663"/>
      <c r="E64" s="663"/>
      <c r="F64" s="663"/>
      <c r="G64" s="663"/>
      <c r="H64" s="663"/>
      <c r="I64" s="663"/>
      <c r="J64" s="663"/>
      <c r="K64" s="663"/>
      <c r="L64" s="663"/>
    </row>
    <row r="65" spans="1:12" s="593" customFormat="1">
      <c r="B65" s="663"/>
      <c r="C65" s="663"/>
      <c r="D65" s="663"/>
      <c r="E65" s="663"/>
      <c r="F65" s="663"/>
      <c r="G65" s="663"/>
      <c r="H65" s="663"/>
      <c r="I65" s="663"/>
      <c r="J65" s="663"/>
      <c r="K65" s="663"/>
      <c r="L65" s="663"/>
    </row>
    <row r="66" spans="1:12">
      <c r="A66" s="593"/>
      <c r="B66" s="663"/>
      <c r="C66" s="663"/>
      <c r="D66" s="663"/>
      <c r="E66" s="663"/>
      <c r="F66" s="663"/>
      <c r="G66" s="663"/>
      <c r="H66" s="663"/>
      <c r="I66" s="663"/>
      <c r="J66" s="663"/>
      <c r="K66" s="593"/>
      <c r="L66" s="663"/>
    </row>
    <row r="67" spans="1:12">
      <c r="A67" s="593"/>
      <c r="B67" s="593"/>
      <c r="C67" s="663"/>
      <c r="D67" s="663"/>
      <c r="E67" s="663"/>
      <c r="F67" s="663"/>
      <c r="G67" s="663"/>
      <c r="H67" s="663"/>
      <c r="I67" s="663"/>
      <c r="J67" s="663"/>
      <c r="K67" s="593"/>
      <c r="L67" s="663"/>
    </row>
    <row r="68" spans="1:12">
      <c r="A68" s="593"/>
      <c r="B68" s="593"/>
      <c r="C68" s="663"/>
      <c r="D68" s="663"/>
      <c r="E68" s="663"/>
      <c r="F68" s="663"/>
      <c r="G68" s="663"/>
      <c r="H68" s="663"/>
      <c r="I68" s="663"/>
      <c r="J68" s="663"/>
      <c r="K68" s="593"/>
      <c r="L68" s="663"/>
    </row>
    <row r="69" spans="1:12">
      <c r="C69" s="663"/>
      <c r="D69" s="663"/>
      <c r="E69" s="663"/>
      <c r="F69" s="657"/>
      <c r="G69" s="663"/>
      <c r="H69" s="663"/>
      <c r="I69" s="657"/>
      <c r="J69" s="663"/>
      <c r="L69" s="663"/>
    </row>
    <row r="70" spans="1:12">
      <c r="C70" s="663"/>
      <c r="D70" s="663"/>
      <c r="E70" s="663"/>
      <c r="F70" s="657"/>
      <c r="G70" s="663"/>
      <c r="H70" s="663"/>
      <c r="I70" s="657"/>
      <c r="J70" s="663"/>
      <c r="L70" s="663"/>
    </row>
    <row r="71" spans="1:12">
      <c r="C71" s="663"/>
      <c r="D71" s="663"/>
      <c r="E71" s="663"/>
      <c r="G71" s="663"/>
      <c r="H71" s="663"/>
      <c r="J71" s="663"/>
      <c r="L71" s="663"/>
    </row>
    <row r="72" spans="1:12">
      <c r="C72" s="663"/>
      <c r="D72" s="663"/>
      <c r="E72" s="663"/>
      <c r="G72" s="663"/>
      <c r="H72" s="663"/>
      <c r="J72" s="663"/>
      <c r="L72" s="663"/>
    </row>
    <row r="73" spans="1:12">
      <c r="C73" s="663"/>
      <c r="D73" s="663"/>
      <c r="E73" s="663"/>
      <c r="G73" s="663"/>
      <c r="H73" s="663"/>
      <c r="J73" s="663"/>
      <c r="L73" s="663"/>
    </row>
    <row r="74" spans="1:12">
      <c r="C74" s="663"/>
      <c r="D74" s="663"/>
      <c r="E74" s="663"/>
      <c r="G74" s="663"/>
      <c r="H74" s="663"/>
      <c r="J74" s="663"/>
      <c r="L74" s="663"/>
    </row>
    <row r="75" spans="1:12">
      <c r="C75" s="663"/>
      <c r="D75" s="663"/>
      <c r="E75" s="663"/>
      <c r="G75" s="663"/>
      <c r="H75" s="663"/>
      <c r="J75" s="663"/>
      <c r="L75" s="663"/>
    </row>
    <row r="76" spans="1:12">
      <c r="C76" s="663"/>
      <c r="D76" s="663"/>
      <c r="E76" s="663"/>
      <c r="G76" s="663"/>
      <c r="H76" s="663"/>
      <c r="J76" s="663"/>
      <c r="L76" s="663"/>
    </row>
    <row r="77" spans="1:12">
      <c r="C77" s="663"/>
      <c r="D77" s="663"/>
      <c r="E77" s="663"/>
      <c r="G77" s="663"/>
      <c r="H77" s="663"/>
      <c r="J77" s="663"/>
    </row>
    <row r="78" spans="1:12">
      <c r="C78" s="663"/>
      <c r="D78" s="663"/>
      <c r="E78" s="663"/>
      <c r="G78" s="663"/>
      <c r="H78" s="663"/>
    </row>
    <row r="79" spans="1:12">
      <c r="B79" s="657"/>
      <c r="C79" s="657"/>
      <c r="D79" s="657"/>
      <c r="E79" s="657"/>
      <c r="F79" s="657"/>
      <c r="G79" s="657"/>
      <c r="H79" s="657"/>
      <c r="I79" s="657"/>
      <c r="J79" s="657"/>
      <c r="K79" s="657"/>
    </row>
    <row r="80" spans="1:12">
      <c r="B80" s="657"/>
      <c r="C80" s="657"/>
      <c r="D80" s="657"/>
      <c r="E80" s="657"/>
      <c r="F80" s="657"/>
      <c r="G80" s="657"/>
      <c r="H80" s="657"/>
      <c r="I80" s="657"/>
      <c r="J80" s="657"/>
      <c r="K80" s="657"/>
    </row>
    <row r="81" spans="2:11">
      <c r="B81" s="657"/>
      <c r="C81" s="657"/>
      <c r="D81" s="657"/>
      <c r="E81" s="657"/>
      <c r="F81" s="657"/>
      <c r="G81" s="657"/>
      <c r="H81" s="657"/>
      <c r="I81" s="657"/>
      <c r="J81" s="657"/>
      <c r="K81" s="657"/>
    </row>
    <row r="82" spans="2:11">
      <c r="B82" s="657"/>
      <c r="C82" s="657"/>
      <c r="D82" s="657"/>
      <c r="E82" s="657"/>
      <c r="F82" s="657"/>
      <c r="G82" s="657"/>
      <c r="H82" s="657"/>
      <c r="I82" s="657"/>
      <c r="J82" s="657"/>
      <c r="K82" s="657"/>
    </row>
    <row r="83" spans="2:11">
      <c r="B83" s="657"/>
      <c r="C83" s="657"/>
      <c r="D83" s="657"/>
      <c r="E83" s="657"/>
      <c r="F83" s="657"/>
      <c r="G83" s="657"/>
      <c r="H83" s="657"/>
      <c r="I83" s="657"/>
      <c r="J83" s="657"/>
      <c r="K83" s="657"/>
    </row>
    <row r="84" spans="2:11">
      <c r="B84" s="657"/>
      <c r="C84" s="657"/>
      <c r="D84" s="657"/>
      <c r="E84" s="657"/>
      <c r="F84" s="657"/>
      <c r="G84" s="657"/>
      <c r="H84" s="657"/>
      <c r="I84" s="657"/>
      <c r="J84" s="657"/>
      <c r="K84" s="657"/>
    </row>
    <row r="85" spans="2:11">
      <c r="B85" s="657"/>
      <c r="C85" s="657"/>
      <c r="D85" s="657"/>
      <c r="E85" s="657"/>
      <c r="F85" s="657"/>
      <c r="G85" s="657"/>
      <c r="H85" s="657"/>
      <c r="I85" s="657"/>
      <c r="J85" s="657"/>
      <c r="K85" s="657"/>
    </row>
    <row r="86" spans="2:11">
      <c r="B86" s="657"/>
      <c r="C86" s="657"/>
      <c r="D86" s="657"/>
      <c r="E86" s="657"/>
      <c r="F86" s="657"/>
      <c r="G86" s="657"/>
      <c r="H86" s="657"/>
      <c r="I86" s="657"/>
      <c r="J86" s="657"/>
      <c r="K86" s="657"/>
    </row>
    <row r="87" spans="2:11">
      <c r="B87" s="657"/>
      <c r="C87" s="657"/>
      <c r="D87" s="657"/>
      <c r="E87" s="657"/>
      <c r="F87" s="657"/>
      <c r="G87" s="657"/>
      <c r="H87" s="657"/>
      <c r="I87" s="657"/>
      <c r="J87" s="657"/>
      <c r="K87" s="657"/>
    </row>
    <row r="88" spans="2:11">
      <c r="B88" s="657"/>
      <c r="C88" s="657"/>
      <c r="D88" s="657"/>
      <c r="E88" s="657"/>
      <c r="F88" s="657"/>
      <c r="G88" s="657"/>
      <c r="H88" s="657"/>
      <c r="I88" s="657"/>
      <c r="J88" s="657"/>
      <c r="K88" s="657"/>
    </row>
    <row r="89" spans="2:11">
      <c r="B89" s="657"/>
      <c r="C89" s="657"/>
      <c r="D89" s="657"/>
      <c r="E89" s="657"/>
      <c r="F89" s="657"/>
      <c r="G89" s="657"/>
      <c r="H89" s="657"/>
      <c r="I89" s="657"/>
      <c r="J89" s="657"/>
      <c r="K89" s="657"/>
    </row>
  </sheetData>
  <mergeCells count="9">
    <mergeCell ref="K3:K4"/>
    <mergeCell ref="G3:I3"/>
    <mergeCell ref="B3:B4"/>
    <mergeCell ref="A3:A5"/>
    <mergeCell ref="G1:I1"/>
    <mergeCell ref="J3:J4"/>
    <mergeCell ref="D1:F1"/>
    <mergeCell ref="C3:C4"/>
    <mergeCell ref="D3:F3"/>
  </mergeCells>
  <phoneticPr fontId="4" type="noConversion"/>
  <conditionalFormatting sqref="B6:K10 A6:A14">
    <cfRule type="expression" dxfId="3" priority="25" stopIfTrue="1">
      <formula>MOD(ROW(),2)=1</formula>
    </cfRule>
  </conditionalFormatting>
  <conditionalFormatting sqref="A13:A14">
    <cfRule type="expression" dxfId="2" priority="20" stopIfTrue="1">
      <formula>MOD(ROW(),2)=1</formula>
    </cfRule>
    <cfRule type="expression" priority="21" stopIfTrue="1">
      <formula>MOD(ROW(),2)=1</formula>
    </cfRule>
  </conditionalFormatting>
  <conditionalFormatting sqref="A13:A14">
    <cfRule type="expression" priority="19" stopIfTrue="1">
      <formula>MOD(row,0)=0</formula>
    </cfRule>
  </conditionalFormatting>
  <conditionalFormatting sqref="A13:A14">
    <cfRule type="expression" priority="18" stopIfTrue="1">
      <formula>MOD((((#REF!))),0)=0</formula>
    </cfRule>
  </conditionalFormatting>
  <conditionalFormatting sqref="B6:K10 A6:A14">
    <cfRule type="expression" dxfId="1" priority="5" stopIfTrue="1">
      <formula>MOD(ROW(),2)=1</formula>
    </cfRule>
  </conditionalFormatting>
  <conditionalFormatting sqref="A13:A14">
    <cfRule type="expression" dxfId="0" priority="3" stopIfTrue="1">
      <formula>MOD(ROW(),2)=1</formula>
    </cfRule>
    <cfRule type="expression" priority="4" stopIfTrue="1">
      <formula>MOD(ROW(),2)=1</formula>
    </cfRule>
  </conditionalFormatting>
  <conditionalFormatting sqref="A13:A14">
    <cfRule type="expression" priority="2" stopIfTrue="1">
      <formula>MOD(row,0)=0</formula>
    </cfRule>
  </conditionalFormatting>
  <conditionalFormatting sqref="A13:A14">
    <cfRule type="expression" priority="1" stopIfTrue="1">
      <formula>MOD((((#REF!))),0)=0</formula>
    </cfRule>
  </conditionalFormatting>
  <pageMargins left="0.62992125984252001" right="0.511811023622047" top="0.511811023622047" bottom="0.31496062992126" header="0" footer="0.31496062992126"/>
  <pageSetup paperSize="448" firstPageNumber="20" orientation="portrait" useFirstPageNumber="1" r:id="rId1"/>
  <headerFooter alignWithMargins="0">
    <oddFooter>&amp;C&amp;"Times New Roman,Regular"&amp;8&amp;P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BV52"/>
  <sheetViews>
    <sheetView zoomScale="130" zoomScaleNormal="130" workbookViewId="0">
      <pane xSplit="2" ySplit="8" topLeftCell="C48" activePane="bottomRight" state="frozen"/>
      <selection activeCell="F85" sqref="F85"/>
      <selection pane="topRight" activeCell="F85" sqref="F85"/>
      <selection pane="bottomLeft" activeCell="F85" sqref="F85"/>
      <selection pane="bottomRight" activeCell="J55" sqref="J55"/>
    </sheetView>
  </sheetViews>
  <sheetFormatPr defaultColWidth="9.140625" defaultRowHeight="12.75"/>
  <cols>
    <col min="1" max="1" width="2.140625" style="725" customWidth="1"/>
    <col min="2" max="2" width="5" style="725" customWidth="1"/>
    <col min="3" max="3" width="7.7109375" style="725" customWidth="1"/>
    <col min="4" max="4" width="7" style="725" customWidth="1"/>
    <col min="5" max="5" width="6.140625" style="725" customWidth="1"/>
    <col min="6" max="6" width="5.5703125" style="725" customWidth="1"/>
    <col min="7" max="7" width="6.85546875" style="725" customWidth="1"/>
    <col min="8" max="8" width="8.140625" style="725" customWidth="1"/>
    <col min="9" max="9" width="7.42578125" style="725" customWidth="1"/>
    <col min="10" max="10" width="7.5703125" style="725" customWidth="1"/>
    <col min="11" max="11" width="6.7109375" style="725" customWidth="1"/>
    <col min="12" max="12" width="6.5703125" style="725" customWidth="1"/>
    <col min="13" max="13" width="5.85546875" style="725" customWidth="1"/>
    <col min="14" max="14" width="5.42578125" style="725" customWidth="1"/>
    <col min="15" max="15" width="7.140625" style="725" customWidth="1"/>
    <col min="16" max="16" width="5.42578125" style="725" customWidth="1"/>
    <col min="17" max="17" width="6.7109375" style="725" customWidth="1"/>
    <col min="18" max="18" width="5.5703125" style="725" customWidth="1"/>
    <col min="19" max="19" width="6.7109375" style="725" customWidth="1"/>
    <col min="20" max="20" width="5.42578125" style="725" customWidth="1"/>
    <col min="21" max="21" width="6" style="725" customWidth="1"/>
    <col min="22" max="22" width="5.140625" style="725" customWidth="1"/>
    <col min="23" max="23" width="7.42578125" style="725" customWidth="1"/>
    <col min="24" max="24" width="5.42578125" style="725" customWidth="1"/>
    <col min="25" max="25" width="7.85546875" style="725" customWidth="1"/>
    <col min="26" max="26" width="2.140625" style="770" customWidth="1"/>
    <col min="27" max="27" width="5" style="725" customWidth="1"/>
    <col min="28" max="28" width="7.7109375" style="725" customWidth="1"/>
    <col min="29" max="29" width="6.85546875" style="725" customWidth="1"/>
    <col min="30" max="31" width="5" style="725" customWidth="1"/>
    <col min="32" max="32" width="6.85546875" style="725" customWidth="1"/>
    <col min="33" max="33" width="5.7109375" style="725" customWidth="1"/>
    <col min="34" max="34" width="6.42578125" style="725" customWidth="1"/>
    <col min="35" max="35" width="5" style="725" customWidth="1"/>
    <col min="36" max="36" width="6.7109375" style="725" customWidth="1"/>
    <col min="37" max="37" width="4.85546875" style="725" customWidth="1"/>
    <col min="38" max="38" width="6.140625" style="725" customWidth="1"/>
    <col min="39" max="39" width="6.28515625" style="725" customWidth="1"/>
    <col min="40" max="40" width="9.140625" style="725" customWidth="1"/>
    <col min="41" max="41" width="8.140625" style="725" customWidth="1"/>
    <col min="42" max="42" width="8.5703125" style="725" customWidth="1"/>
    <col min="43" max="43" width="7.140625" style="725" customWidth="1"/>
    <col min="44" max="44" width="7.85546875" style="725" customWidth="1"/>
    <col min="45" max="45" width="6.5703125" style="725" customWidth="1"/>
    <col min="46" max="47" width="7.7109375" style="725" customWidth="1"/>
    <col min="48" max="48" width="8.5703125" style="725" customWidth="1"/>
    <col min="49" max="49" width="8.28515625" style="725" customWidth="1"/>
    <col min="50" max="50" width="2.140625" style="770" customWidth="1"/>
    <col min="51" max="51" width="5.5703125" style="725" customWidth="1"/>
    <col min="52" max="52" width="6.42578125" style="725" customWidth="1"/>
    <col min="53" max="53" width="5.28515625" style="725" customWidth="1"/>
    <col min="54" max="54" width="6.85546875" style="725" customWidth="1"/>
    <col min="55" max="55" width="6.140625" style="725" customWidth="1"/>
    <col min="56" max="56" width="7.5703125" style="725" customWidth="1"/>
    <col min="57" max="58" width="6.140625" style="725" customWidth="1"/>
    <col min="59" max="59" width="7.140625" style="725" customWidth="1"/>
    <col min="60" max="60" width="5.7109375" style="725" customWidth="1"/>
    <col min="61" max="61" width="8.140625" style="725" customWidth="1"/>
    <col min="62" max="62" width="6.42578125" style="725" customWidth="1"/>
    <col min="63" max="63" width="7.140625" style="725" customWidth="1"/>
    <col min="64" max="64" width="6.28515625" style="725" customWidth="1"/>
    <col min="65" max="65" width="6.5703125" style="725" customWidth="1"/>
    <col min="66" max="66" width="8.140625" style="725" customWidth="1"/>
    <col min="67" max="67" width="6.85546875" style="725" customWidth="1"/>
    <col min="68" max="68" width="8.140625" style="725" customWidth="1"/>
    <col min="69" max="69" width="5.28515625" style="725" customWidth="1"/>
    <col min="70" max="70" width="7.5703125" style="725" customWidth="1"/>
    <col min="71" max="71" width="6.42578125" style="725" customWidth="1"/>
    <col min="72" max="72" width="6.7109375" style="725" customWidth="1"/>
    <col min="73" max="73" width="6" style="725" customWidth="1"/>
    <col min="74" max="74" width="5.85546875" style="725" customWidth="1"/>
    <col min="75" max="16384" width="9.140625" style="725"/>
  </cols>
  <sheetData>
    <row r="1" spans="1:74" s="712" customFormat="1" ht="33" customHeight="1">
      <c r="H1" s="1895" t="s">
        <v>1500</v>
      </c>
      <c r="I1" s="1895"/>
      <c r="J1" s="1895"/>
      <c r="K1" s="1895"/>
      <c r="L1" s="1895"/>
      <c r="M1" s="1895"/>
      <c r="N1" s="1895"/>
      <c r="O1" s="1895"/>
      <c r="P1" s="1895"/>
      <c r="Q1" s="1895"/>
      <c r="R1" s="1895"/>
      <c r="S1" s="1895"/>
      <c r="V1" s="1894" t="s">
        <v>2067</v>
      </c>
      <c r="W1" s="1894"/>
      <c r="X1" s="1894"/>
      <c r="Y1" s="1894"/>
      <c r="Z1" s="771"/>
      <c r="AH1" s="1895" t="s">
        <v>2142</v>
      </c>
      <c r="AI1" s="1895"/>
      <c r="AJ1" s="1895"/>
      <c r="AK1" s="1895"/>
      <c r="AL1" s="1895"/>
      <c r="AM1" s="1895"/>
      <c r="AN1" s="1895"/>
      <c r="AO1" s="1895"/>
      <c r="AP1" s="1895"/>
      <c r="AQ1" s="1895"/>
      <c r="AR1" s="1895"/>
      <c r="AT1" s="1894" t="s">
        <v>2067</v>
      </c>
      <c r="AU1" s="1894"/>
      <c r="AV1" s="1894"/>
      <c r="AW1" s="1894"/>
      <c r="AX1" s="771"/>
      <c r="BD1" s="713"/>
      <c r="BE1" s="713"/>
      <c r="BF1" s="713"/>
      <c r="BG1" s="1895" t="s">
        <v>2141</v>
      </c>
      <c r="BH1" s="1895"/>
      <c r="BI1" s="1895"/>
      <c r="BJ1" s="1895"/>
      <c r="BK1" s="1895"/>
      <c r="BL1" s="1895"/>
      <c r="BM1" s="1895"/>
      <c r="BN1" s="1895"/>
      <c r="BO1" s="1895"/>
      <c r="BP1" s="713"/>
      <c r="BQ1" s="713"/>
      <c r="BS1" s="1894" t="s">
        <v>2068</v>
      </c>
      <c r="BT1" s="1894"/>
      <c r="BU1" s="1894"/>
      <c r="BV1" s="1894"/>
    </row>
    <row r="2" spans="1:74" s="714" customFormat="1" ht="14.25" customHeight="1">
      <c r="J2" s="1404"/>
      <c r="K2" s="715"/>
      <c r="L2" s="715"/>
      <c r="M2" s="715"/>
      <c r="N2" s="715"/>
      <c r="O2" s="715"/>
      <c r="P2" s="715"/>
      <c r="Q2" s="715"/>
      <c r="R2" s="715"/>
      <c r="S2" s="715"/>
      <c r="T2" s="716"/>
      <c r="U2" s="716"/>
      <c r="V2" s="717"/>
      <c r="W2" s="1892" t="s">
        <v>2078</v>
      </c>
      <c r="X2" s="1928"/>
      <c r="Y2" s="1928"/>
      <c r="Z2" s="772"/>
      <c r="AH2" s="715"/>
      <c r="AI2" s="715"/>
      <c r="AJ2" s="715"/>
      <c r="AK2" s="715"/>
      <c r="AL2" s="715"/>
      <c r="AM2" s="715"/>
      <c r="AN2" s="715"/>
      <c r="AO2" s="715"/>
      <c r="AP2" s="716"/>
      <c r="AQ2" s="716"/>
      <c r="AR2" s="716"/>
      <c r="AS2" s="716"/>
      <c r="AT2" s="717"/>
      <c r="AU2" s="1892" t="s">
        <v>2079</v>
      </c>
      <c r="AV2" s="1893"/>
      <c r="AW2" s="1893"/>
      <c r="AX2" s="772"/>
      <c r="BC2" s="715"/>
      <c r="BD2" s="715"/>
      <c r="BE2" s="715"/>
      <c r="BF2" s="715"/>
      <c r="BG2" s="715"/>
      <c r="BH2" s="715"/>
      <c r="BI2" s="715"/>
      <c r="BM2" s="1404"/>
      <c r="BN2" s="1404"/>
      <c r="BO2" s="1404"/>
      <c r="BP2" s="1404"/>
      <c r="BQ2" s="1404"/>
      <c r="BR2" s="712"/>
      <c r="BT2" s="1892" t="s">
        <v>25</v>
      </c>
      <c r="BU2" s="1893"/>
      <c r="BV2" s="1893"/>
    </row>
    <row r="3" spans="1:74" s="718" customFormat="1" ht="12.75" customHeight="1">
      <c r="A3" s="1910" t="s">
        <v>1463</v>
      </c>
      <c r="B3" s="1911"/>
      <c r="C3" s="1933" t="s">
        <v>1464</v>
      </c>
      <c r="D3" s="1945"/>
      <c r="E3" s="1945"/>
      <c r="F3" s="1945"/>
      <c r="G3" s="1945"/>
      <c r="H3" s="1934"/>
      <c r="I3" s="1899" t="s">
        <v>1465</v>
      </c>
      <c r="J3" s="1900"/>
      <c r="K3" s="1962" t="s">
        <v>2603</v>
      </c>
      <c r="L3" s="1963"/>
      <c r="M3" s="1963"/>
      <c r="N3" s="1963"/>
      <c r="O3" s="1963"/>
      <c r="P3" s="1963"/>
      <c r="Q3" s="1963"/>
      <c r="R3" s="1963"/>
      <c r="S3" s="1963"/>
      <c r="T3" s="1963"/>
      <c r="U3" s="1963"/>
      <c r="V3" s="1963"/>
      <c r="W3" s="1963"/>
      <c r="X3" s="1963"/>
      <c r="Y3" s="1951"/>
      <c r="Z3" s="1910" t="s">
        <v>1463</v>
      </c>
      <c r="AA3" s="1911"/>
      <c r="AB3" s="1923" t="s">
        <v>2143</v>
      </c>
      <c r="AC3" s="1924"/>
      <c r="AD3" s="1924"/>
      <c r="AE3" s="1924"/>
      <c r="AF3" s="1924"/>
      <c r="AG3" s="1924"/>
      <c r="AH3" s="1924"/>
      <c r="AI3" s="1924"/>
      <c r="AJ3" s="1924"/>
      <c r="AK3" s="1924"/>
      <c r="AL3" s="1924"/>
      <c r="AM3" s="1924"/>
      <c r="AN3" s="1924"/>
      <c r="AO3" s="1924"/>
      <c r="AP3" s="1924"/>
      <c r="AQ3" s="1924"/>
      <c r="AR3" s="1924"/>
      <c r="AS3" s="1924"/>
      <c r="AT3" s="1924"/>
      <c r="AU3" s="1924"/>
      <c r="AV3" s="1924"/>
      <c r="AW3" s="1925"/>
      <c r="AX3" s="1910" t="s">
        <v>1463</v>
      </c>
      <c r="AY3" s="1911"/>
      <c r="AZ3" s="1923" t="s">
        <v>1466</v>
      </c>
      <c r="BA3" s="1924"/>
      <c r="BB3" s="1924"/>
      <c r="BC3" s="1924"/>
      <c r="BD3" s="1924"/>
      <c r="BE3" s="1925"/>
      <c r="BF3" s="1933" t="s">
        <v>1559</v>
      </c>
      <c r="BG3" s="1945"/>
      <c r="BH3" s="1945"/>
      <c r="BI3" s="1934"/>
      <c r="BJ3" s="1920" t="s">
        <v>1503</v>
      </c>
      <c r="BK3" s="1921"/>
      <c r="BL3" s="1911"/>
      <c r="BM3" s="1933" t="s">
        <v>1467</v>
      </c>
      <c r="BN3" s="1945"/>
      <c r="BO3" s="1945"/>
      <c r="BP3" s="1934"/>
      <c r="BQ3" s="1933" t="s">
        <v>1468</v>
      </c>
      <c r="BR3" s="1945"/>
      <c r="BS3" s="1945"/>
      <c r="BT3" s="1934"/>
      <c r="BU3" s="1918" t="s">
        <v>1505</v>
      </c>
      <c r="BV3" s="1896" t="s">
        <v>1504</v>
      </c>
    </row>
    <row r="4" spans="1:74" s="718" customFormat="1" ht="15.75" customHeight="1">
      <c r="A4" s="1912"/>
      <c r="B4" s="1913"/>
      <c r="C4" s="1937"/>
      <c r="D4" s="1946"/>
      <c r="E4" s="1946"/>
      <c r="F4" s="1946"/>
      <c r="G4" s="1946"/>
      <c r="H4" s="1938"/>
      <c r="I4" s="1960"/>
      <c r="J4" s="1961"/>
      <c r="K4" s="1923" t="s">
        <v>1469</v>
      </c>
      <c r="L4" s="1924"/>
      <c r="M4" s="1924"/>
      <c r="N4" s="1924"/>
      <c r="O4" s="1924"/>
      <c r="P4" s="1924"/>
      <c r="Q4" s="1924"/>
      <c r="R4" s="1924"/>
      <c r="S4" s="1924"/>
      <c r="T4" s="1924"/>
      <c r="U4" s="1924"/>
      <c r="V4" s="1924"/>
      <c r="W4" s="1924"/>
      <c r="X4" s="1924"/>
      <c r="Y4" s="1925"/>
      <c r="Z4" s="1912"/>
      <c r="AA4" s="1913"/>
      <c r="AB4" s="1923" t="s">
        <v>1470</v>
      </c>
      <c r="AC4" s="1924"/>
      <c r="AD4" s="1924"/>
      <c r="AE4" s="1924"/>
      <c r="AF4" s="1924"/>
      <c r="AG4" s="1924"/>
      <c r="AH4" s="1924"/>
      <c r="AI4" s="1924"/>
      <c r="AJ4" s="1924"/>
      <c r="AK4" s="1924"/>
      <c r="AL4" s="1924"/>
      <c r="AM4" s="1924"/>
      <c r="AN4" s="1924"/>
      <c r="AO4" s="1925"/>
      <c r="AP4" s="1939" t="s">
        <v>1471</v>
      </c>
      <c r="AQ4" s="1940"/>
      <c r="AR4" s="1940"/>
      <c r="AS4" s="1941"/>
      <c r="AT4" s="1952" t="s">
        <v>1472</v>
      </c>
      <c r="AU4" s="1953"/>
      <c r="AV4" s="1953"/>
      <c r="AW4" s="1954"/>
      <c r="AX4" s="1912"/>
      <c r="AY4" s="1913"/>
      <c r="AZ4" s="1952" t="s">
        <v>1473</v>
      </c>
      <c r="BA4" s="1953"/>
      <c r="BB4" s="1953"/>
      <c r="BC4" s="1954"/>
      <c r="BD4" s="1933" t="s">
        <v>659</v>
      </c>
      <c r="BE4" s="1934"/>
      <c r="BF4" s="1937"/>
      <c r="BG4" s="1946"/>
      <c r="BH4" s="1946"/>
      <c r="BI4" s="1938"/>
      <c r="BJ4" s="1914"/>
      <c r="BK4" s="1893"/>
      <c r="BL4" s="1915"/>
      <c r="BM4" s="1937"/>
      <c r="BN4" s="1946"/>
      <c r="BO4" s="1946"/>
      <c r="BP4" s="1938"/>
      <c r="BQ4" s="1937"/>
      <c r="BR4" s="1946"/>
      <c r="BS4" s="1946"/>
      <c r="BT4" s="1938"/>
      <c r="BU4" s="1922"/>
      <c r="BV4" s="1897"/>
    </row>
    <row r="5" spans="1:74" s="719" customFormat="1" ht="12" customHeight="1">
      <c r="A5" s="1912"/>
      <c r="B5" s="1913"/>
      <c r="C5" s="1899" t="s">
        <v>1474</v>
      </c>
      <c r="D5" s="1900"/>
      <c r="E5" s="1899" t="s">
        <v>1475</v>
      </c>
      <c r="F5" s="1900"/>
      <c r="G5" s="1899" t="s">
        <v>659</v>
      </c>
      <c r="H5" s="1900"/>
      <c r="I5" s="1960"/>
      <c r="J5" s="1961"/>
      <c r="K5" s="1964" t="s">
        <v>2040</v>
      </c>
      <c r="L5" s="1963"/>
      <c r="M5" s="1963"/>
      <c r="N5" s="1951"/>
      <c r="O5" s="1903" t="s">
        <v>1476</v>
      </c>
      <c r="P5" s="1904"/>
      <c r="Q5" s="1904"/>
      <c r="R5" s="1905"/>
      <c r="S5" s="1903" t="s">
        <v>1477</v>
      </c>
      <c r="T5" s="1904"/>
      <c r="U5" s="1904"/>
      <c r="V5" s="1905"/>
      <c r="W5" s="1965" t="s">
        <v>659</v>
      </c>
      <c r="X5" s="1966"/>
      <c r="Y5" s="1926" t="s">
        <v>1478</v>
      </c>
      <c r="Z5" s="1912"/>
      <c r="AA5" s="1913"/>
      <c r="AB5" s="1903" t="s">
        <v>2038</v>
      </c>
      <c r="AC5" s="1904"/>
      <c r="AD5" s="1904"/>
      <c r="AE5" s="1905"/>
      <c r="AF5" s="1903" t="s">
        <v>1476</v>
      </c>
      <c r="AG5" s="1904"/>
      <c r="AH5" s="1904"/>
      <c r="AI5" s="1905"/>
      <c r="AJ5" s="1903" t="s">
        <v>1479</v>
      </c>
      <c r="AK5" s="1904"/>
      <c r="AL5" s="1904"/>
      <c r="AM5" s="1905"/>
      <c r="AN5" s="1899" t="s">
        <v>659</v>
      </c>
      <c r="AO5" s="1900"/>
      <c r="AP5" s="1942"/>
      <c r="AQ5" s="1943"/>
      <c r="AR5" s="1943"/>
      <c r="AS5" s="1944"/>
      <c r="AT5" s="1955"/>
      <c r="AU5" s="1956"/>
      <c r="AV5" s="1956"/>
      <c r="AW5" s="1957"/>
      <c r="AX5" s="1912"/>
      <c r="AY5" s="1913"/>
      <c r="AZ5" s="1955"/>
      <c r="BA5" s="1956"/>
      <c r="BB5" s="1956"/>
      <c r="BC5" s="1957"/>
      <c r="BD5" s="1935"/>
      <c r="BE5" s="1936"/>
      <c r="BF5" s="1896" t="s">
        <v>1469</v>
      </c>
      <c r="BG5" s="1896" t="s">
        <v>1470</v>
      </c>
      <c r="BH5" s="1896" t="s">
        <v>1480</v>
      </c>
      <c r="BI5" s="1896" t="s">
        <v>659</v>
      </c>
      <c r="BJ5" s="1896" t="s">
        <v>1481</v>
      </c>
      <c r="BK5" s="1899" t="s">
        <v>1482</v>
      </c>
      <c r="BL5" s="1900"/>
      <c r="BM5" s="1896" t="s">
        <v>1483</v>
      </c>
      <c r="BN5" s="1929" t="s">
        <v>1484</v>
      </c>
      <c r="BO5" s="1930"/>
      <c r="BP5" s="1906" t="s">
        <v>1485</v>
      </c>
      <c r="BQ5" s="1906" t="s">
        <v>1486</v>
      </c>
      <c r="BR5" s="1929" t="s">
        <v>1487</v>
      </c>
      <c r="BS5" s="1930"/>
      <c r="BT5" s="1918" t="s">
        <v>1488</v>
      </c>
      <c r="BU5" s="1922"/>
      <c r="BV5" s="1897"/>
    </row>
    <row r="6" spans="1:74" s="720" customFormat="1" ht="50.25" customHeight="1">
      <c r="A6" s="1912"/>
      <c r="B6" s="1913"/>
      <c r="C6" s="1901"/>
      <c r="D6" s="1902"/>
      <c r="E6" s="1901"/>
      <c r="F6" s="1902"/>
      <c r="G6" s="1901"/>
      <c r="H6" s="1902"/>
      <c r="I6" s="1901"/>
      <c r="J6" s="1902"/>
      <c r="K6" s="1908" t="s">
        <v>2547</v>
      </c>
      <c r="L6" s="1909"/>
      <c r="M6" s="1908" t="s">
        <v>1490</v>
      </c>
      <c r="N6" s="1909"/>
      <c r="O6" s="1908" t="s">
        <v>1489</v>
      </c>
      <c r="P6" s="1909"/>
      <c r="Q6" s="1908" t="s">
        <v>1490</v>
      </c>
      <c r="R6" s="1909"/>
      <c r="S6" s="1908" t="s">
        <v>1489</v>
      </c>
      <c r="T6" s="1909"/>
      <c r="U6" s="1908" t="s">
        <v>1490</v>
      </c>
      <c r="V6" s="1909"/>
      <c r="W6" s="1967"/>
      <c r="X6" s="1968"/>
      <c r="Y6" s="1927"/>
      <c r="Z6" s="1912"/>
      <c r="AA6" s="1913"/>
      <c r="AB6" s="1908" t="s">
        <v>1489</v>
      </c>
      <c r="AC6" s="1909"/>
      <c r="AD6" s="1908" t="s">
        <v>1490</v>
      </c>
      <c r="AE6" s="1909"/>
      <c r="AF6" s="1908" t="s">
        <v>1489</v>
      </c>
      <c r="AG6" s="1909"/>
      <c r="AH6" s="1908" t="s">
        <v>1490</v>
      </c>
      <c r="AI6" s="1909"/>
      <c r="AJ6" s="1908" t="s">
        <v>1489</v>
      </c>
      <c r="AK6" s="1909"/>
      <c r="AL6" s="1908" t="s">
        <v>1490</v>
      </c>
      <c r="AM6" s="1909"/>
      <c r="AN6" s="1901"/>
      <c r="AO6" s="1902"/>
      <c r="AP6" s="1908" t="s">
        <v>1489</v>
      </c>
      <c r="AQ6" s="1909"/>
      <c r="AR6" s="1908" t="s">
        <v>1490</v>
      </c>
      <c r="AS6" s="1909"/>
      <c r="AT6" s="1948" t="s">
        <v>2039</v>
      </c>
      <c r="AU6" s="1949"/>
      <c r="AV6" s="1948" t="s">
        <v>1491</v>
      </c>
      <c r="AW6" s="1949"/>
      <c r="AX6" s="1912"/>
      <c r="AY6" s="1913"/>
      <c r="AZ6" s="1948" t="s">
        <v>1492</v>
      </c>
      <c r="BA6" s="1949"/>
      <c r="BB6" s="1948" t="s">
        <v>659</v>
      </c>
      <c r="BC6" s="1949"/>
      <c r="BD6" s="1937"/>
      <c r="BE6" s="1938"/>
      <c r="BF6" s="1898"/>
      <c r="BG6" s="1898"/>
      <c r="BH6" s="1898"/>
      <c r="BI6" s="1947"/>
      <c r="BJ6" s="1898"/>
      <c r="BK6" s="1901"/>
      <c r="BL6" s="1902"/>
      <c r="BM6" s="1898"/>
      <c r="BN6" s="1931"/>
      <c r="BO6" s="1932"/>
      <c r="BP6" s="1907"/>
      <c r="BQ6" s="1907"/>
      <c r="BR6" s="1931"/>
      <c r="BS6" s="1932"/>
      <c r="BT6" s="1919"/>
      <c r="BU6" s="1919"/>
      <c r="BV6" s="1898"/>
    </row>
    <row r="7" spans="1:74" s="723" customFormat="1" ht="42" customHeight="1">
      <c r="A7" s="1912"/>
      <c r="B7" s="1913"/>
      <c r="C7" s="721" t="s">
        <v>2546</v>
      </c>
      <c r="D7" s="721" t="s">
        <v>2069</v>
      </c>
      <c r="E7" s="721" t="s">
        <v>1493</v>
      </c>
      <c r="F7" s="721" t="s">
        <v>2069</v>
      </c>
      <c r="G7" s="721" t="s">
        <v>1493</v>
      </c>
      <c r="H7" s="721" t="s">
        <v>2069</v>
      </c>
      <c r="I7" s="721" t="s">
        <v>1493</v>
      </c>
      <c r="J7" s="721" t="s">
        <v>2069</v>
      </c>
      <c r="K7" s="721" t="s">
        <v>1493</v>
      </c>
      <c r="L7" s="721" t="s">
        <v>2069</v>
      </c>
      <c r="M7" s="721" t="s">
        <v>1493</v>
      </c>
      <c r="N7" s="722" t="s">
        <v>2069</v>
      </c>
      <c r="O7" s="721" t="s">
        <v>1493</v>
      </c>
      <c r="P7" s="722" t="s">
        <v>2069</v>
      </c>
      <c r="Q7" s="721" t="s">
        <v>1493</v>
      </c>
      <c r="R7" s="722" t="s">
        <v>2069</v>
      </c>
      <c r="S7" s="721" t="s">
        <v>1493</v>
      </c>
      <c r="T7" s="722" t="s">
        <v>2069</v>
      </c>
      <c r="U7" s="721" t="s">
        <v>1493</v>
      </c>
      <c r="V7" s="722" t="s">
        <v>2069</v>
      </c>
      <c r="W7" s="721" t="s">
        <v>1493</v>
      </c>
      <c r="X7" s="722" t="s">
        <v>2069</v>
      </c>
      <c r="Y7" s="721" t="s">
        <v>2069</v>
      </c>
      <c r="Z7" s="1912"/>
      <c r="AA7" s="1913"/>
      <c r="AB7" s="721" t="s">
        <v>1493</v>
      </c>
      <c r="AC7" s="721" t="s">
        <v>2069</v>
      </c>
      <c r="AD7" s="721" t="s">
        <v>1493</v>
      </c>
      <c r="AE7" s="721" t="s">
        <v>2069</v>
      </c>
      <c r="AF7" s="721" t="s">
        <v>1493</v>
      </c>
      <c r="AG7" s="721" t="s">
        <v>2070</v>
      </c>
      <c r="AH7" s="721" t="s">
        <v>1493</v>
      </c>
      <c r="AI7" s="721" t="s">
        <v>2069</v>
      </c>
      <c r="AJ7" s="721" t="s">
        <v>1493</v>
      </c>
      <c r="AK7" s="721" t="s">
        <v>2069</v>
      </c>
      <c r="AL7" s="721" t="s">
        <v>1493</v>
      </c>
      <c r="AM7" s="721" t="s">
        <v>2069</v>
      </c>
      <c r="AN7" s="721" t="s">
        <v>1493</v>
      </c>
      <c r="AO7" s="721" t="s">
        <v>2069</v>
      </c>
      <c r="AP7" s="721" t="s">
        <v>1493</v>
      </c>
      <c r="AQ7" s="721" t="s">
        <v>2069</v>
      </c>
      <c r="AR7" s="721" t="s">
        <v>1493</v>
      </c>
      <c r="AS7" s="721" t="s">
        <v>2069</v>
      </c>
      <c r="AT7" s="721" t="s">
        <v>1493</v>
      </c>
      <c r="AU7" s="721" t="s">
        <v>2069</v>
      </c>
      <c r="AV7" s="721" t="s">
        <v>1493</v>
      </c>
      <c r="AW7" s="721" t="s">
        <v>2069</v>
      </c>
      <c r="AX7" s="1912"/>
      <c r="AY7" s="1913"/>
      <c r="AZ7" s="721" t="s">
        <v>1493</v>
      </c>
      <c r="BA7" s="721" t="s">
        <v>2069</v>
      </c>
      <c r="BB7" s="721" t="s">
        <v>1493</v>
      </c>
      <c r="BC7" s="721" t="s">
        <v>2069</v>
      </c>
      <c r="BD7" s="721" t="s">
        <v>1493</v>
      </c>
      <c r="BE7" s="721" t="s">
        <v>2069</v>
      </c>
      <c r="BF7" s="721" t="s">
        <v>1558</v>
      </c>
      <c r="BG7" s="721" t="s">
        <v>1558</v>
      </c>
      <c r="BH7" s="721" t="s">
        <v>1494</v>
      </c>
      <c r="BI7" s="721" t="s">
        <v>1494</v>
      </c>
      <c r="BJ7" s="721" t="s">
        <v>1494</v>
      </c>
      <c r="BK7" s="721" t="s">
        <v>1493</v>
      </c>
      <c r="BL7" s="721" t="s">
        <v>2069</v>
      </c>
      <c r="BM7" s="721" t="s">
        <v>1494</v>
      </c>
      <c r="BN7" s="721" t="s">
        <v>1493</v>
      </c>
      <c r="BO7" s="721" t="s">
        <v>2069</v>
      </c>
      <c r="BP7" s="721" t="s">
        <v>1494</v>
      </c>
      <c r="BQ7" s="721" t="s">
        <v>1494</v>
      </c>
      <c r="BR7" s="721" t="s">
        <v>1493</v>
      </c>
      <c r="BS7" s="721" t="s">
        <v>2069</v>
      </c>
      <c r="BT7" s="721" t="s">
        <v>1494</v>
      </c>
      <c r="BU7" s="721" t="s">
        <v>1494</v>
      </c>
      <c r="BV7" s="721" t="s">
        <v>1494</v>
      </c>
    </row>
    <row r="8" spans="1:74" s="724" customFormat="1" ht="15" customHeight="1">
      <c r="A8" s="1914"/>
      <c r="B8" s="1915"/>
      <c r="C8" s="1916">
        <v>1</v>
      </c>
      <c r="D8" s="1917"/>
      <c r="E8" s="1916">
        <v>2</v>
      </c>
      <c r="F8" s="1917"/>
      <c r="G8" s="1403" t="s">
        <v>1495</v>
      </c>
      <c r="H8" s="1403"/>
      <c r="I8" s="1916">
        <v>4</v>
      </c>
      <c r="J8" s="1917"/>
      <c r="K8" s="1916">
        <v>5</v>
      </c>
      <c r="L8" s="1917"/>
      <c r="M8" s="1916">
        <v>6</v>
      </c>
      <c r="N8" s="1917"/>
      <c r="O8" s="1916">
        <v>7</v>
      </c>
      <c r="P8" s="1917"/>
      <c r="Q8" s="1916">
        <v>8</v>
      </c>
      <c r="R8" s="1917"/>
      <c r="S8" s="1916">
        <v>9</v>
      </c>
      <c r="T8" s="1917"/>
      <c r="U8" s="1916">
        <v>10</v>
      </c>
      <c r="V8" s="1917"/>
      <c r="W8" s="1916" t="s">
        <v>1496</v>
      </c>
      <c r="X8" s="1917"/>
      <c r="Y8" s="1403">
        <v>12</v>
      </c>
      <c r="Z8" s="1914"/>
      <c r="AA8" s="1915"/>
      <c r="AB8" s="1916">
        <v>13</v>
      </c>
      <c r="AC8" s="1917"/>
      <c r="AD8" s="1916">
        <v>14</v>
      </c>
      <c r="AE8" s="1917"/>
      <c r="AF8" s="1916">
        <v>15</v>
      </c>
      <c r="AG8" s="1951"/>
      <c r="AH8" s="1916">
        <v>16</v>
      </c>
      <c r="AI8" s="1917"/>
      <c r="AJ8" s="1916">
        <v>17</v>
      </c>
      <c r="AK8" s="1951"/>
      <c r="AL8" s="1916">
        <v>18</v>
      </c>
      <c r="AM8" s="1917"/>
      <c r="AN8" s="1916" t="s">
        <v>1497</v>
      </c>
      <c r="AO8" s="1917"/>
      <c r="AP8" s="1916">
        <v>20</v>
      </c>
      <c r="AQ8" s="1917"/>
      <c r="AR8" s="1916">
        <v>21</v>
      </c>
      <c r="AS8" s="1917"/>
      <c r="AT8" s="1916">
        <v>22</v>
      </c>
      <c r="AU8" s="1917"/>
      <c r="AV8" s="1916">
        <v>23</v>
      </c>
      <c r="AW8" s="1917"/>
      <c r="AX8" s="1914"/>
      <c r="AY8" s="1915"/>
      <c r="AZ8" s="1916">
        <v>24</v>
      </c>
      <c r="BA8" s="1917"/>
      <c r="BB8" s="1958" t="s">
        <v>1498</v>
      </c>
      <c r="BC8" s="1951"/>
      <c r="BD8" s="1950" t="s">
        <v>1499</v>
      </c>
      <c r="BE8" s="1951"/>
      <c r="BF8" s="1403">
        <v>27</v>
      </c>
      <c r="BG8" s="1403">
        <v>28</v>
      </c>
      <c r="BH8" s="1403">
        <v>29</v>
      </c>
      <c r="BI8" s="1478" t="s">
        <v>1557</v>
      </c>
      <c r="BJ8" s="1403">
        <v>31</v>
      </c>
      <c r="BK8" s="1403">
        <v>32</v>
      </c>
      <c r="BL8" s="1403">
        <v>33</v>
      </c>
      <c r="BM8" s="1403">
        <v>34</v>
      </c>
      <c r="BN8" s="1916">
        <v>35</v>
      </c>
      <c r="BO8" s="1917"/>
      <c r="BP8" s="1403">
        <v>36</v>
      </c>
      <c r="BQ8" s="1403">
        <v>37</v>
      </c>
      <c r="BR8" s="1916">
        <v>38</v>
      </c>
      <c r="BS8" s="1917"/>
      <c r="BT8" s="1403">
        <v>39</v>
      </c>
      <c r="BU8" s="1403">
        <v>40</v>
      </c>
      <c r="BV8" s="1403">
        <v>41</v>
      </c>
    </row>
    <row r="9" spans="1:74" s="729" customFormat="1" ht="9.75" customHeight="1">
      <c r="A9" s="1969" t="s">
        <v>2017</v>
      </c>
      <c r="B9" s="1963"/>
      <c r="C9" s="746"/>
      <c r="D9" s="747"/>
      <c r="E9" s="746"/>
      <c r="F9" s="747"/>
      <c r="G9" s="746"/>
      <c r="H9" s="747"/>
      <c r="I9" s="746"/>
      <c r="J9" s="747"/>
      <c r="K9" s="746"/>
      <c r="L9" s="747"/>
      <c r="M9" s="746"/>
      <c r="N9" s="747"/>
      <c r="O9" s="746"/>
      <c r="P9" s="747"/>
      <c r="Q9" s="746"/>
      <c r="R9" s="747"/>
      <c r="S9" s="746"/>
      <c r="T9" s="747"/>
      <c r="U9" s="746"/>
      <c r="V9" s="747"/>
      <c r="W9" s="746"/>
      <c r="X9" s="747"/>
      <c r="Y9" s="1186"/>
      <c r="Z9" s="1969" t="s">
        <v>2017</v>
      </c>
      <c r="AA9" s="1963"/>
      <c r="AB9" s="746"/>
      <c r="AC9" s="747"/>
      <c r="AD9" s="746"/>
      <c r="AE9" s="747"/>
      <c r="AF9" s="746"/>
      <c r="AG9" s="747"/>
      <c r="AH9" s="746"/>
      <c r="AI9" s="747"/>
      <c r="AJ9" s="746"/>
      <c r="AK9" s="747"/>
      <c r="AL9" s="746"/>
      <c r="AM9" s="747"/>
      <c r="AN9" s="746"/>
      <c r="AO9" s="747"/>
      <c r="AP9" s="746"/>
      <c r="AQ9" s="763"/>
      <c r="AR9" s="746"/>
      <c r="AS9" s="747"/>
      <c r="AT9" s="746"/>
      <c r="AU9" s="747"/>
      <c r="AV9" s="746"/>
      <c r="AW9" s="747"/>
      <c r="AX9" s="1969" t="s">
        <v>2017</v>
      </c>
      <c r="AY9" s="1963"/>
      <c r="AZ9" s="746"/>
      <c r="BA9" s="747"/>
      <c r="BB9" s="746"/>
      <c r="BC9" s="747"/>
      <c r="BD9" s="746"/>
      <c r="BE9" s="747"/>
      <c r="BF9" s="746"/>
      <c r="BG9" s="746"/>
      <c r="BH9" s="746"/>
      <c r="BI9" s="746"/>
      <c r="BJ9" s="746"/>
      <c r="BK9" s="746"/>
      <c r="BL9" s="747"/>
      <c r="BM9" s="746"/>
      <c r="BN9" s="746"/>
      <c r="BO9" s="747"/>
      <c r="BP9" s="746"/>
      <c r="BQ9" s="746"/>
      <c r="BR9" s="746"/>
      <c r="BS9" s="747"/>
      <c r="BT9" s="746"/>
      <c r="BU9" s="746"/>
      <c r="BV9" s="778"/>
    </row>
    <row r="10" spans="1:74" s="730" customFormat="1" ht="9.9499999999999993" customHeight="1">
      <c r="A10" s="1970" t="s">
        <v>1575</v>
      </c>
      <c r="B10" s="1006" t="s">
        <v>2600</v>
      </c>
      <c r="C10" s="1336">
        <v>643009</v>
      </c>
      <c r="D10" s="1119">
        <v>127372.40260611199</v>
      </c>
      <c r="E10" s="1118">
        <v>34858</v>
      </c>
      <c r="F10" s="1119">
        <v>1591.249244869</v>
      </c>
      <c r="G10" s="1118">
        <v>677867</v>
      </c>
      <c r="H10" s="1119">
        <v>128963.651850981</v>
      </c>
      <c r="I10" s="1118">
        <v>392181</v>
      </c>
      <c r="J10" s="1119">
        <v>5739.2762637960004</v>
      </c>
      <c r="K10" s="1118">
        <v>6166</v>
      </c>
      <c r="L10" s="1119">
        <v>6.8515777999999994</v>
      </c>
      <c r="M10" s="1118">
        <v>0</v>
      </c>
      <c r="N10" s="1119">
        <v>0</v>
      </c>
      <c r="O10" s="1118">
        <v>7805</v>
      </c>
      <c r="P10" s="1119">
        <v>3.6720274110000002</v>
      </c>
      <c r="Q10" s="1118">
        <v>82</v>
      </c>
      <c r="R10" s="1119">
        <v>2.7620144999999999E-2</v>
      </c>
      <c r="S10" s="1118">
        <v>3353</v>
      </c>
      <c r="T10" s="1119">
        <v>1.3810238000000001</v>
      </c>
      <c r="U10" s="1118">
        <v>0</v>
      </c>
      <c r="V10" s="1119">
        <v>0</v>
      </c>
      <c r="W10" s="1118">
        <v>17406</v>
      </c>
      <c r="X10" s="1119">
        <v>11.932249156000001</v>
      </c>
      <c r="Y10" s="768">
        <v>26.172649462999999</v>
      </c>
      <c r="Z10" s="1970" t="s">
        <v>1575</v>
      </c>
      <c r="AA10" s="1006" t="s">
        <v>2600</v>
      </c>
      <c r="AB10" s="1118">
        <v>957634</v>
      </c>
      <c r="AC10" s="1119">
        <v>977.68256209999993</v>
      </c>
      <c r="AD10" s="1118">
        <v>0</v>
      </c>
      <c r="AE10" s="1119">
        <v>0</v>
      </c>
      <c r="AF10" s="1118">
        <v>131434</v>
      </c>
      <c r="AG10" s="1119">
        <v>42.772746030999997</v>
      </c>
      <c r="AH10" s="1118">
        <v>0</v>
      </c>
      <c r="AI10" s="1119">
        <v>0</v>
      </c>
      <c r="AJ10" s="1118">
        <v>105756</v>
      </c>
      <c r="AK10" s="1119">
        <v>32.926755299999996</v>
      </c>
      <c r="AL10" s="1118">
        <v>0</v>
      </c>
      <c r="AM10" s="1119">
        <v>0</v>
      </c>
      <c r="AN10" s="1118">
        <v>1194824</v>
      </c>
      <c r="AO10" s="1119">
        <v>1053.382063431</v>
      </c>
      <c r="AP10" s="1118">
        <v>8989</v>
      </c>
      <c r="AQ10" s="1119">
        <v>13.472300009</v>
      </c>
      <c r="AR10" s="1118">
        <v>0</v>
      </c>
      <c r="AS10" s="1119">
        <v>0</v>
      </c>
      <c r="AT10" s="1118">
        <v>0</v>
      </c>
      <c r="AU10" s="1119">
        <v>0</v>
      </c>
      <c r="AV10" s="1118">
        <v>0</v>
      </c>
      <c r="AW10" s="1119">
        <v>0</v>
      </c>
      <c r="AX10" s="1970" t="s">
        <v>1575</v>
      </c>
      <c r="AY10" s="1006" t="s">
        <v>2600</v>
      </c>
      <c r="AZ10" s="1118">
        <v>0</v>
      </c>
      <c r="BA10" s="1119">
        <v>0</v>
      </c>
      <c r="BB10" s="1118">
        <v>0</v>
      </c>
      <c r="BC10" s="1119">
        <v>0</v>
      </c>
      <c r="BD10" s="1118">
        <v>1221219</v>
      </c>
      <c r="BE10" s="1119">
        <v>1078.7866125959999</v>
      </c>
      <c r="BF10" s="1118">
        <v>8963</v>
      </c>
      <c r="BG10" s="1118">
        <v>529047</v>
      </c>
      <c r="BH10" s="1118">
        <v>24500</v>
      </c>
      <c r="BI10" s="1118">
        <v>562510</v>
      </c>
      <c r="BJ10" s="1118">
        <v>0</v>
      </c>
      <c r="BK10" s="1118">
        <v>0</v>
      </c>
      <c r="BL10" s="1119">
        <v>0</v>
      </c>
      <c r="BM10" s="1118">
        <v>139090</v>
      </c>
      <c r="BN10" s="1118">
        <v>19657478</v>
      </c>
      <c r="BO10" s="1119">
        <v>927.96334760000002</v>
      </c>
      <c r="BP10" s="1118">
        <v>18889606</v>
      </c>
      <c r="BQ10" s="1118">
        <v>248</v>
      </c>
      <c r="BR10" s="1285">
        <v>308704</v>
      </c>
      <c r="BS10" s="1119">
        <v>536.31038119999994</v>
      </c>
      <c r="BT10" s="1118">
        <v>187625</v>
      </c>
      <c r="BU10" s="1118">
        <v>276</v>
      </c>
      <c r="BV10" s="1286">
        <v>0</v>
      </c>
    </row>
    <row r="11" spans="1:74" s="730" customFormat="1" ht="9.9499999999999993" customHeight="1">
      <c r="A11" s="1971"/>
      <c r="B11" s="726" t="s">
        <v>2601</v>
      </c>
      <c r="C11" s="1124">
        <v>21210</v>
      </c>
      <c r="D11" s="766">
        <v>3312.2817910069998</v>
      </c>
      <c r="E11" s="765">
        <v>1305</v>
      </c>
      <c r="F11" s="766">
        <v>12.925426699999999</v>
      </c>
      <c r="G11" s="765">
        <v>22515</v>
      </c>
      <c r="H11" s="766">
        <v>3325.2072177069999</v>
      </c>
      <c r="I11" s="765">
        <v>4653</v>
      </c>
      <c r="J11" s="766">
        <v>435.61025777899999</v>
      </c>
      <c r="K11" s="765">
        <v>0</v>
      </c>
      <c r="L11" s="766">
        <v>0</v>
      </c>
      <c r="M11" s="765">
        <v>0</v>
      </c>
      <c r="N11" s="766">
        <v>0</v>
      </c>
      <c r="O11" s="765">
        <v>0</v>
      </c>
      <c r="P11" s="766">
        <v>0</v>
      </c>
      <c r="Q11" s="765">
        <v>0</v>
      </c>
      <c r="R11" s="766">
        <v>0</v>
      </c>
      <c r="S11" s="765">
        <v>0</v>
      </c>
      <c r="T11" s="766">
        <v>0</v>
      </c>
      <c r="U11" s="765">
        <v>0</v>
      </c>
      <c r="V11" s="766">
        <v>0</v>
      </c>
      <c r="W11" s="765">
        <v>0</v>
      </c>
      <c r="X11" s="766">
        <v>0</v>
      </c>
      <c r="Y11" s="766">
        <v>0</v>
      </c>
      <c r="Z11" s="1971"/>
      <c r="AA11" s="726" t="s">
        <v>2601</v>
      </c>
      <c r="AB11" s="765">
        <v>10921</v>
      </c>
      <c r="AC11" s="766">
        <v>20.738029999999998</v>
      </c>
      <c r="AD11" s="765">
        <v>0</v>
      </c>
      <c r="AE11" s="766">
        <v>0</v>
      </c>
      <c r="AF11" s="765">
        <v>375</v>
      </c>
      <c r="AG11" s="766">
        <v>9.7674089000000006E-2</v>
      </c>
      <c r="AH11" s="765">
        <v>0</v>
      </c>
      <c r="AI11" s="766">
        <v>0</v>
      </c>
      <c r="AJ11" s="765">
        <v>0</v>
      </c>
      <c r="AK11" s="766">
        <v>0</v>
      </c>
      <c r="AL11" s="765">
        <v>0</v>
      </c>
      <c r="AM11" s="766">
        <v>0</v>
      </c>
      <c r="AN11" s="765">
        <v>11296</v>
      </c>
      <c r="AO11" s="766">
        <v>20.835704089</v>
      </c>
      <c r="AP11" s="765">
        <v>0</v>
      </c>
      <c r="AQ11" s="766">
        <v>0</v>
      </c>
      <c r="AR11" s="765">
        <v>0</v>
      </c>
      <c r="AS11" s="766">
        <v>0</v>
      </c>
      <c r="AT11" s="765">
        <v>0</v>
      </c>
      <c r="AU11" s="766">
        <v>0</v>
      </c>
      <c r="AV11" s="765">
        <v>0</v>
      </c>
      <c r="AW11" s="766">
        <v>0</v>
      </c>
      <c r="AX11" s="1971"/>
      <c r="AY11" s="726" t="s">
        <v>2601</v>
      </c>
      <c r="AZ11" s="765">
        <v>0</v>
      </c>
      <c r="BA11" s="766">
        <v>0</v>
      </c>
      <c r="BB11" s="765">
        <v>0</v>
      </c>
      <c r="BC11" s="766">
        <v>0</v>
      </c>
      <c r="BD11" s="765">
        <v>11296</v>
      </c>
      <c r="BE11" s="766">
        <v>1</v>
      </c>
      <c r="BF11" s="765">
        <v>0</v>
      </c>
      <c r="BG11" s="765">
        <v>7573</v>
      </c>
      <c r="BH11" s="765">
        <v>0</v>
      </c>
      <c r="BI11" s="765">
        <v>7573</v>
      </c>
      <c r="BJ11" s="765">
        <v>0</v>
      </c>
      <c r="BK11" s="765">
        <v>0</v>
      </c>
      <c r="BL11" s="766">
        <v>0</v>
      </c>
      <c r="BM11" s="765">
        <v>0</v>
      </c>
      <c r="BN11" s="765">
        <v>0</v>
      </c>
      <c r="BO11" s="766">
        <v>0</v>
      </c>
      <c r="BP11" s="765">
        <v>0</v>
      </c>
      <c r="BQ11" s="765">
        <v>0</v>
      </c>
      <c r="BR11" s="860">
        <v>0</v>
      </c>
      <c r="BS11" s="766">
        <v>0</v>
      </c>
      <c r="BT11" s="765">
        <v>0</v>
      </c>
      <c r="BU11" s="765">
        <v>6</v>
      </c>
      <c r="BV11" s="773">
        <v>0</v>
      </c>
    </row>
    <row r="12" spans="1:74" s="730" customFormat="1" ht="9.9499999999999993" customHeight="1">
      <c r="A12" s="1971"/>
      <c r="B12" s="769" t="s">
        <v>1502</v>
      </c>
      <c r="C12" s="1123">
        <v>1932406</v>
      </c>
      <c r="D12" s="768">
        <v>247037.47118056903</v>
      </c>
      <c r="E12" s="767">
        <v>2341</v>
      </c>
      <c r="F12" s="768">
        <v>340.38693386399996</v>
      </c>
      <c r="G12" s="767">
        <v>1934747</v>
      </c>
      <c r="H12" s="768">
        <v>247377.85811443307</v>
      </c>
      <c r="I12" s="767">
        <v>5835166</v>
      </c>
      <c r="J12" s="768">
        <v>62813.120524918995</v>
      </c>
      <c r="K12" s="767">
        <v>316517</v>
      </c>
      <c r="L12" s="768">
        <v>253.19286941200008</v>
      </c>
      <c r="M12" s="767">
        <v>2644</v>
      </c>
      <c r="N12" s="768">
        <v>4.8095305862000002</v>
      </c>
      <c r="O12" s="767">
        <v>1573563</v>
      </c>
      <c r="P12" s="768">
        <v>1086.418450867</v>
      </c>
      <c r="Q12" s="767">
        <v>99507</v>
      </c>
      <c r="R12" s="768">
        <v>43.028430739500003</v>
      </c>
      <c r="S12" s="767">
        <v>949594</v>
      </c>
      <c r="T12" s="768">
        <v>432.37479284400001</v>
      </c>
      <c r="U12" s="767">
        <v>144058</v>
      </c>
      <c r="V12" s="768">
        <v>51.160358059100005</v>
      </c>
      <c r="W12" s="767">
        <v>3085883</v>
      </c>
      <c r="X12" s="768">
        <v>1870.9844325078002</v>
      </c>
      <c r="Y12" s="768">
        <v>4549.5046275760005</v>
      </c>
      <c r="Z12" s="1971"/>
      <c r="AA12" s="769" t="s">
        <v>1502</v>
      </c>
      <c r="AB12" s="767">
        <v>33279278</v>
      </c>
      <c r="AC12" s="768">
        <v>28829.7155824</v>
      </c>
      <c r="AD12" s="767">
        <v>1184</v>
      </c>
      <c r="AE12" s="768">
        <v>2.5358919155999997</v>
      </c>
      <c r="AF12" s="767">
        <v>1419932</v>
      </c>
      <c r="AG12" s="768">
        <v>631.09946015700007</v>
      </c>
      <c r="AH12" s="767">
        <v>5966</v>
      </c>
      <c r="AI12" s="768">
        <v>1.8693407561000002</v>
      </c>
      <c r="AJ12" s="767">
        <v>2161268</v>
      </c>
      <c r="AK12" s="768">
        <v>451.08855137700004</v>
      </c>
      <c r="AL12" s="767">
        <v>14591</v>
      </c>
      <c r="AM12" s="768">
        <v>3.1422171569000001</v>
      </c>
      <c r="AN12" s="767">
        <v>36882219</v>
      </c>
      <c r="AO12" s="768">
        <v>29919.451043762601</v>
      </c>
      <c r="AP12" s="767">
        <v>478543</v>
      </c>
      <c r="AQ12" s="768">
        <v>303.94894337480002</v>
      </c>
      <c r="AR12" s="767">
        <v>111181</v>
      </c>
      <c r="AS12" s="768">
        <v>19.177580895449999</v>
      </c>
      <c r="AT12" s="767">
        <v>112205</v>
      </c>
      <c r="AU12" s="768">
        <v>131.22977872999999</v>
      </c>
      <c r="AV12" s="767">
        <v>71704</v>
      </c>
      <c r="AW12" s="768">
        <v>50.985178325</v>
      </c>
      <c r="AX12" s="1971"/>
      <c r="AY12" s="769" t="s">
        <v>1502</v>
      </c>
      <c r="AZ12" s="767">
        <v>91719</v>
      </c>
      <c r="BA12" s="768">
        <v>23.802481446999998</v>
      </c>
      <c r="BB12" s="767">
        <v>275628</v>
      </c>
      <c r="BC12" s="768">
        <v>206.01743850200003</v>
      </c>
      <c r="BD12" s="767">
        <v>40833454</v>
      </c>
      <c r="BE12" s="768">
        <v>32319.579439042645</v>
      </c>
      <c r="BF12" s="767">
        <v>1452870</v>
      </c>
      <c r="BG12" s="767">
        <v>18863270</v>
      </c>
      <c r="BH12" s="767">
        <v>440294</v>
      </c>
      <c r="BI12" s="767">
        <v>20756434</v>
      </c>
      <c r="BJ12" s="767">
        <v>2542136</v>
      </c>
      <c r="BK12" s="767">
        <v>4939028</v>
      </c>
      <c r="BL12" s="768">
        <v>6904.4217494699988</v>
      </c>
      <c r="BM12" s="767">
        <v>859401</v>
      </c>
      <c r="BN12" s="767">
        <v>735768301</v>
      </c>
      <c r="BO12" s="768">
        <v>120307.80094778098</v>
      </c>
      <c r="BP12" s="767">
        <v>69907469</v>
      </c>
      <c r="BQ12" s="767">
        <v>8564</v>
      </c>
      <c r="BR12" s="859">
        <v>15834784</v>
      </c>
      <c r="BS12" s="768">
        <v>53027.63650058346</v>
      </c>
      <c r="BT12" s="767">
        <v>7169846</v>
      </c>
      <c r="BU12" s="767">
        <v>10603</v>
      </c>
      <c r="BV12" s="774">
        <v>65946</v>
      </c>
    </row>
    <row r="13" spans="1:74" s="730" customFormat="1" ht="9.9499999999999993" customHeight="1">
      <c r="A13" s="1971"/>
      <c r="B13" s="726" t="s">
        <v>1510</v>
      </c>
      <c r="C13" s="1124">
        <v>194468</v>
      </c>
      <c r="D13" s="766">
        <v>27787.168570722002</v>
      </c>
      <c r="E13" s="765">
        <v>78</v>
      </c>
      <c r="F13" s="766">
        <v>0.39190380000000002</v>
      </c>
      <c r="G13" s="765">
        <v>194546</v>
      </c>
      <c r="H13" s="766">
        <v>27787.560474521997</v>
      </c>
      <c r="I13" s="765">
        <v>1499747</v>
      </c>
      <c r="J13" s="766">
        <v>23319.043515084999</v>
      </c>
      <c r="K13" s="765">
        <v>13073</v>
      </c>
      <c r="L13" s="766">
        <v>12.583919975000001</v>
      </c>
      <c r="M13" s="765">
        <v>84</v>
      </c>
      <c r="N13" s="766">
        <v>0.16993878600000001</v>
      </c>
      <c r="O13" s="765">
        <v>356444</v>
      </c>
      <c r="P13" s="766">
        <v>153.26883974899999</v>
      </c>
      <c r="Q13" s="765">
        <v>2429</v>
      </c>
      <c r="R13" s="766">
        <v>0.78525309099999996</v>
      </c>
      <c r="S13" s="765">
        <v>229149</v>
      </c>
      <c r="T13" s="766">
        <v>81.607472905000009</v>
      </c>
      <c r="U13" s="765">
        <v>17568</v>
      </c>
      <c r="V13" s="766">
        <v>3.6258909140000002</v>
      </c>
      <c r="W13" s="765">
        <v>618747</v>
      </c>
      <c r="X13" s="766">
        <v>252.04131542000005</v>
      </c>
      <c r="Y13" s="766">
        <v>655.45629825200001</v>
      </c>
      <c r="Z13" s="1971"/>
      <c r="AA13" s="726" t="s">
        <v>1510</v>
      </c>
      <c r="AB13" s="765">
        <v>1591792</v>
      </c>
      <c r="AC13" s="766">
        <v>1538.717590042</v>
      </c>
      <c r="AD13" s="765">
        <v>1096</v>
      </c>
      <c r="AE13" s="766">
        <v>3.4753016485000003</v>
      </c>
      <c r="AF13" s="765">
        <v>164799</v>
      </c>
      <c r="AG13" s="766">
        <v>63.810194252000002</v>
      </c>
      <c r="AH13" s="765">
        <v>1123</v>
      </c>
      <c r="AI13" s="766">
        <v>1.5942825869999999</v>
      </c>
      <c r="AJ13" s="765">
        <v>178503</v>
      </c>
      <c r="AK13" s="766">
        <v>54.889935975</v>
      </c>
      <c r="AL13" s="765">
        <v>4322</v>
      </c>
      <c r="AM13" s="766">
        <v>2.5443936480000002</v>
      </c>
      <c r="AN13" s="765">
        <v>1941635</v>
      </c>
      <c r="AO13" s="766">
        <v>1665.0316981524998</v>
      </c>
      <c r="AP13" s="765">
        <v>0</v>
      </c>
      <c r="AQ13" s="766">
        <v>0</v>
      </c>
      <c r="AR13" s="765">
        <v>1420</v>
      </c>
      <c r="AS13" s="766">
        <v>0.33507036290000003</v>
      </c>
      <c r="AT13" s="765">
        <v>15104</v>
      </c>
      <c r="AU13" s="766">
        <v>36.347520000000003</v>
      </c>
      <c r="AV13" s="765">
        <v>0</v>
      </c>
      <c r="AW13" s="766">
        <v>0</v>
      </c>
      <c r="AX13" s="1971"/>
      <c r="AY13" s="726" t="s">
        <v>1510</v>
      </c>
      <c r="AZ13" s="765">
        <v>0</v>
      </c>
      <c r="BA13" s="766">
        <v>0</v>
      </c>
      <c r="BB13" s="765">
        <v>15104</v>
      </c>
      <c r="BC13" s="766">
        <v>36.347520000000003</v>
      </c>
      <c r="BD13" s="765">
        <v>2576906</v>
      </c>
      <c r="BE13" s="766">
        <v>1953.7556039353999</v>
      </c>
      <c r="BF13" s="765">
        <v>131864</v>
      </c>
      <c r="BG13" s="765">
        <v>325893</v>
      </c>
      <c r="BH13" s="765">
        <v>121436</v>
      </c>
      <c r="BI13" s="765">
        <v>579193</v>
      </c>
      <c r="BJ13" s="765">
        <v>200105</v>
      </c>
      <c r="BK13" s="765">
        <v>1142495</v>
      </c>
      <c r="BL13" s="766">
        <v>10712.752733797999</v>
      </c>
      <c r="BM13" s="765">
        <v>0</v>
      </c>
      <c r="BN13" s="765">
        <v>0</v>
      </c>
      <c r="BO13" s="766">
        <v>0</v>
      </c>
      <c r="BP13" s="765">
        <v>0</v>
      </c>
      <c r="BQ13" s="765">
        <v>0</v>
      </c>
      <c r="BR13" s="860">
        <v>0</v>
      </c>
      <c r="BS13" s="766">
        <v>0</v>
      </c>
      <c r="BT13" s="765">
        <v>0</v>
      </c>
      <c r="BU13" s="765">
        <v>162</v>
      </c>
      <c r="BV13" s="773">
        <v>0</v>
      </c>
    </row>
    <row r="14" spans="1:74" s="730" customFormat="1" ht="9.9499999999999993" customHeight="1">
      <c r="A14" s="1971"/>
      <c r="B14" s="1392" t="s">
        <v>659</v>
      </c>
      <c r="C14" s="1393">
        <v>2791093</v>
      </c>
      <c r="D14" s="1394">
        <v>405509.32414841</v>
      </c>
      <c r="E14" s="1395">
        <v>38582</v>
      </c>
      <c r="F14" s="1394">
        <v>1944.9535092329997</v>
      </c>
      <c r="G14" s="1395">
        <v>2829675</v>
      </c>
      <c r="H14" s="1394">
        <v>407454.27765764308</v>
      </c>
      <c r="I14" s="1395">
        <v>7731747</v>
      </c>
      <c r="J14" s="1394">
        <v>92307.050561578988</v>
      </c>
      <c r="K14" s="1395">
        <v>335756</v>
      </c>
      <c r="L14" s="1394">
        <v>272.62836718700009</v>
      </c>
      <c r="M14" s="1395">
        <v>2728</v>
      </c>
      <c r="N14" s="1394">
        <v>4.9794693722000005</v>
      </c>
      <c r="O14" s="1395">
        <v>1937812</v>
      </c>
      <c r="P14" s="1394">
        <v>1243.359318027</v>
      </c>
      <c r="Q14" s="1395">
        <v>102018</v>
      </c>
      <c r="R14" s="1394">
        <v>43.841303975500004</v>
      </c>
      <c r="S14" s="1395">
        <v>1182096</v>
      </c>
      <c r="T14" s="1394">
        <v>515.363289549</v>
      </c>
      <c r="U14" s="1395">
        <v>161626</v>
      </c>
      <c r="V14" s="1394">
        <v>54.786248973100008</v>
      </c>
      <c r="W14" s="1395">
        <v>3722036</v>
      </c>
      <c r="X14" s="1394">
        <v>2134.9579970838004</v>
      </c>
      <c r="Y14" s="1394">
        <v>5231.1335752910009</v>
      </c>
      <c r="Z14" s="1971"/>
      <c r="AA14" s="1392" t="s">
        <v>659</v>
      </c>
      <c r="AB14" s="1395">
        <v>35839625</v>
      </c>
      <c r="AC14" s="1394">
        <v>31366.853764542</v>
      </c>
      <c r="AD14" s="1395">
        <v>2280</v>
      </c>
      <c r="AE14" s="1394">
        <v>6.0111935641000001</v>
      </c>
      <c r="AF14" s="1395">
        <v>1716540</v>
      </c>
      <c r="AG14" s="1394">
        <v>737.78007452899999</v>
      </c>
      <c r="AH14" s="1395">
        <v>7089</v>
      </c>
      <c r="AI14" s="1394">
        <v>3.4636233431000001</v>
      </c>
      <c r="AJ14" s="1395">
        <v>2445527</v>
      </c>
      <c r="AK14" s="1394">
        <v>538.90524265199997</v>
      </c>
      <c r="AL14" s="1395">
        <v>18913</v>
      </c>
      <c r="AM14" s="1394">
        <v>5.6866108049000008</v>
      </c>
      <c r="AN14" s="1395">
        <v>40029974</v>
      </c>
      <c r="AO14" s="1394">
        <v>32658.700509435101</v>
      </c>
      <c r="AP14" s="1395">
        <v>487532</v>
      </c>
      <c r="AQ14" s="1394">
        <v>317.4212433838</v>
      </c>
      <c r="AR14" s="1395">
        <v>112601</v>
      </c>
      <c r="AS14" s="1394">
        <v>19.512651258350001</v>
      </c>
      <c r="AT14" s="1395">
        <v>127309</v>
      </c>
      <c r="AU14" s="1394">
        <v>167.57729873</v>
      </c>
      <c r="AV14" s="1395">
        <v>71704</v>
      </c>
      <c r="AW14" s="1394">
        <v>50.985178325</v>
      </c>
      <c r="AX14" s="1971"/>
      <c r="AY14" s="1392" t="s">
        <v>659</v>
      </c>
      <c r="AZ14" s="1499">
        <v>91719</v>
      </c>
      <c r="BA14" s="1394">
        <v>23.802481446999998</v>
      </c>
      <c r="BB14" s="1395">
        <v>290732</v>
      </c>
      <c r="BC14" s="1394">
        <v>242.36495850200004</v>
      </c>
      <c r="BD14" s="1395">
        <v>44642875</v>
      </c>
      <c r="BE14" s="1394">
        <v>35353.121655574047</v>
      </c>
      <c r="BF14" s="1395">
        <v>1593697</v>
      </c>
      <c r="BG14" s="1395">
        <v>19725783</v>
      </c>
      <c r="BH14" s="1395">
        <v>586230</v>
      </c>
      <c r="BI14" s="1395">
        <v>21905710</v>
      </c>
      <c r="BJ14" s="1395">
        <v>2742241</v>
      </c>
      <c r="BK14" s="1395">
        <v>6081523</v>
      </c>
      <c r="BL14" s="1394">
        <v>17617.174483267998</v>
      </c>
      <c r="BM14" s="1395">
        <v>998491</v>
      </c>
      <c r="BN14" s="1395">
        <v>755425779</v>
      </c>
      <c r="BO14" s="1394">
        <v>121235.76429538098</v>
      </c>
      <c r="BP14" s="1395">
        <v>88797075</v>
      </c>
      <c r="BQ14" s="1395">
        <v>8812</v>
      </c>
      <c r="BR14" s="1499">
        <v>16143488</v>
      </c>
      <c r="BS14" s="1394">
        <v>53563.946881783457</v>
      </c>
      <c r="BT14" s="1395">
        <v>7357471</v>
      </c>
      <c r="BU14" s="1395">
        <v>11047</v>
      </c>
      <c r="BV14" s="1396">
        <v>65946</v>
      </c>
    </row>
    <row r="15" spans="1:74" s="730" customFormat="1" ht="9.9499999999999993" customHeight="1">
      <c r="A15" s="1975" t="s">
        <v>2114</v>
      </c>
      <c r="B15" s="1975"/>
      <c r="C15" s="1337"/>
      <c r="D15" s="1338"/>
      <c r="E15" s="1339"/>
      <c r="F15" s="1338"/>
      <c r="G15" s="1339"/>
      <c r="H15" s="1338"/>
      <c r="I15" s="1339"/>
      <c r="J15" s="1338"/>
      <c r="K15" s="1339"/>
      <c r="L15" s="1338"/>
      <c r="M15" s="1339"/>
      <c r="N15" s="1338"/>
      <c r="O15" s="1339"/>
      <c r="P15" s="1338"/>
      <c r="Q15" s="1339"/>
      <c r="R15" s="1338"/>
      <c r="S15" s="1339"/>
      <c r="T15" s="1338"/>
      <c r="U15" s="1339"/>
      <c r="V15" s="1338"/>
      <c r="W15" s="1339"/>
      <c r="X15" s="1338"/>
      <c r="Y15" s="1338"/>
      <c r="Z15" s="1976" t="s">
        <v>2114</v>
      </c>
      <c r="AA15" s="1976"/>
      <c r="AB15" s="1339"/>
      <c r="AC15" s="1338"/>
      <c r="AD15" s="1339"/>
      <c r="AE15" s="1338"/>
      <c r="AF15" s="1339"/>
      <c r="AG15" s="1338"/>
      <c r="AH15" s="1339"/>
      <c r="AI15" s="1338"/>
      <c r="AJ15" s="1339"/>
      <c r="AK15" s="1338"/>
      <c r="AL15" s="1339"/>
      <c r="AM15" s="1338"/>
      <c r="AN15" s="1339"/>
      <c r="AO15" s="1338"/>
      <c r="AP15" s="1339"/>
      <c r="AQ15" s="1338"/>
      <c r="AR15" s="1339"/>
      <c r="AS15" s="1338"/>
      <c r="AT15" s="1339"/>
      <c r="AU15" s="1338"/>
      <c r="AV15" s="1339"/>
      <c r="AW15" s="1338"/>
      <c r="AX15" s="1976" t="s">
        <v>2114</v>
      </c>
      <c r="AY15" s="1976"/>
      <c r="AZ15" s="1500"/>
      <c r="BA15" s="1338"/>
      <c r="BB15" s="1339"/>
      <c r="BC15" s="1338"/>
      <c r="BD15" s="1339"/>
      <c r="BE15" s="1338"/>
      <c r="BF15" s="1339"/>
      <c r="BG15" s="1339"/>
      <c r="BH15" s="1339"/>
      <c r="BI15" s="1339"/>
      <c r="BJ15" s="1339"/>
      <c r="BK15" s="1339"/>
      <c r="BL15" s="1338"/>
      <c r="BM15" s="1339"/>
      <c r="BN15" s="1339"/>
      <c r="BO15" s="1338"/>
      <c r="BP15" s="1339"/>
      <c r="BQ15" s="1339"/>
      <c r="BR15" s="1500"/>
      <c r="BS15" s="1338"/>
      <c r="BT15" s="1339"/>
      <c r="BU15" s="1339"/>
      <c r="BV15" s="1397"/>
    </row>
    <row r="16" spans="1:74" s="730" customFormat="1" ht="9.9499999999999993" customHeight="1">
      <c r="A16" s="1970" t="s">
        <v>1576</v>
      </c>
      <c r="B16" s="769" t="s">
        <v>2600</v>
      </c>
      <c r="C16" s="1123">
        <v>979776</v>
      </c>
      <c r="D16" s="768">
        <v>139816.88940486699</v>
      </c>
      <c r="E16" s="1123">
        <v>47066</v>
      </c>
      <c r="F16" s="768">
        <v>1873.3823743</v>
      </c>
      <c r="G16" s="1123">
        <v>1026842</v>
      </c>
      <c r="H16" s="768">
        <v>141690.271779167</v>
      </c>
      <c r="I16" s="1123">
        <v>728484</v>
      </c>
      <c r="J16" s="768">
        <v>4971.0261181229998</v>
      </c>
      <c r="K16" s="1123">
        <v>11438</v>
      </c>
      <c r="L16" s="768">
        <v>13.082630049999999</v>
      </c>
      <c r="M16" s="1123">
        <v>0</v>
      </c>
      <c r="N16" s="768">
        <v>0</v>
      </c>
      <c r="O16" s="1123">
        <v>12049</v>
      </c>
      <c r="P16" s="768">
        <v>5.8627215020000003</v>
      </c>
      <c r="Q16" s="1123">
        <v>73</v>
      </c>
      <c r="R16" s="768">
        <v>5.1765545000000003E-2</v>
      </c>
      <c r="S16" s="1123">
        <v>4797</v>
      </c>
      <c r="T16" s="768">
        <v>1.9442022720000001</v>
      </c>
      <c r="U16" s="1123">
        <v>7</v>
      </c>
      <c r="V16" s="768">
        <v>1.527994E-3</v>
      </c>
      <c r="W16" s="1123">
        <v>28364</v>
      </c>
      <c r="X16" s="768">
        <v>20.942847362999998</v>
      </c>
      <c r="Y16" s="768">
        <v>27.892039259999997</v>
      </c>
      <c r="Z16" s="1970" t="s">
        <v>1576</v>
      </c>
      <c r="AA16" s="769" t="s">
        <v>2600</v>
      </c>
      <c r="AB16" s="767">
        <v>1269854</v>
      </c>
      <c r="AC16" s="768">
        <v>1250.1304121000001</v>
      </c>
      <c r="AD16" s="767">
        <v>0</v>
      </c>
      <c r="AE16" s="768">
        <v>0</v>
      </c>
      <c r="AF16" s="767">
        <v>187264</v>
      </c>
      <c r="AG16" s="768">
        <v>55.855846478000004</v>
      </c>
      <c r="AH16" s="767">
        <v>0</v>
      </c>
      <c r="AI16" s="768">
        <v>0</v>
      </c>
      <c r="AJ16" s="767">
        <v>122954</v>
      </c>
      <c r="AK16" s="768">
        <v>31.980700800000001</v>
      </c>
      <c r="AL16" s="767">
        <v>0</v>
      </c>
      <c r="AM16" s="768">
        <v>0</v>
      </c>
      <c r="AN16" s="767">
        <v>1580072</v>
      </c>
      <c r="AO16" s="768">
        <v>1337.966959378</v>
      </c>
      <c r="AP16" s="767">
        <v>12532</v>
      </c>
      <c r="AQ16" s="768">
        <v>18.761083638000002</v>
      </c>
      <c r="AR16" s="767">
        <v>0</v>
      </c>
      <c r="AS16" s="768">
        <v>0</v>
      </c>
      <c r="AT16" s="767">
        <v>0</v>
      </c>
      <c r="AU16" s="768">
        <v>0</v>
      </c>
      <c r="AV16" s="767">
        <v>0</v>
      </c>
      <c r="AW16" s="768">
        <v>0</v>
      </c>
      <c r="AX16" s="1970" t="s">
        <v>1576</v>
      </c>
      <c r="AY16" s="769" t="s">
        <v>2600</v>
      </c>
      <c r="AZ16" s="767">
        <v>0</v>
      </c>
      <c r="BA16" s="768">
        <v>0</v>
      </c>
      <c r="BB16" s="767">
        <v>0</v>
      </c>
      <c r="BC16" s="768">
        <v>0</v>
      </c>
      <c r="BD16" s="767">
        <v>1620968</v>
      </c>
      <c r="BE16" s="768">
        <v>1377.670890379</v>
      </c>
      <c r="BF16" s="767">
        <v>9405</v>
      </c>
      <c r="BG16" s="767">
        <v>585211</v>
      </c>
      <c r="BH16" s="767">
        <v>24767</v>
      </c>
      <c r="BI16" s="767">
        <v>619383</v>
      </c>
      <c r="BJ16" s="767">
        <v>0</v>
      </c>
      <c r="BK16" s="767">
        <v>0</v>
      </c>
      <c r="BL16" s="768">
        <v>0</v>
      </c>
      <c r="BM16" s="767">
        <v>140959</v>
      </c>
      <c r="BN16" s="767">
        <v>22262856</v>
      </c>
      <c r="BO16" s="768">
        <v>1201.53766219</v>
      </c>
      <c r="BP16" s="767">
        <v>21342632</v>
      </c>
      <c r="BQ16" s="767">
        <v>245</v>
      </c>
      <c r="BR16" s="767">
        <v>495086</v>
      </c>
      <c r="BS16" s="768">
        <v>1118.6338318999999</v>
      </c>
      <c r="BT16" s="767">
        <v>223619</v>
      </c>
      <c r="BU16" s="767">
        <v>279</v>
      </c>
      <c r="BV16" s="774">
        <v>0</v>
      </c>
    </row>
    <row r="17" spans="1:74" s="730" customFormat="1" ht="9.9499999999999993" customHeight="1">
      <c r="A17" s="1972"/>
      <c r="B17" s="726" t="s">
        <v>2601</v>
      </c>
      <c r="C17" s="1124">
        <v>37266</v>
      </c>
      <c r="D17" s="766">
        <v>4519.8533466589997</v>
      </c>
      <c r="E17" s="1124">
        <v>18477</v>
      </c>
      <c r="F17" s="766">
        <v>59.191396400000009</v>
      </c>
      <c r="G17" s="1124">
        <v>55743</v>
      </c>
      <c r="H17" s="766">
        <v>4579.0447430589993</v>
      </c>
      <c r="I17" s="1124">
        <v>3691</v>
      </c>
      <c r="J17" s="766">
        <v>206.693754474</v>
      </c>
      <c r="K17" s="1124">
        <v>0</v>
      </c>
      <c r="L17" s="766">
        <v>0</v>
      </c>
      <c r="M17" s="1124">
        <v>0</v>
      </c>
      <c r="N17" s="766">
        <v>0</v>
      </c>
      <c r="O17" s="1124">
        <v>0</v>
      </c>
      <c r="P17" s="766">
        <v>0</v>
      </c>
      <c r="Q17" s="1124">
        <v>0</v>
      </c>
      <c r="R17" s="766">
        <v>0</v>
      </c>
      <c r="S17" s="1124">
        <v>0</v>
      </c>
      <c r="T17" s="766">
        <v>0</v>
      </c>
      <c r="U17" s="1124">
        <v>0</v>
      </c>
      <c r="V17" s="766">
        <v>0</v>
      </c>
      <c r="W17" s="1124">
        <v>0</v>
      </c>
      <c r="X17" s="766">
        <v>0</v>
      </c>
      <c r="Y17" s="766">
        <v>0</v>
      </c>
      <c r="Z17" s="1972"/>
      <c r="AA17" s="726" t="s">
        <v>2601</v>
      </c>
      <c r="AB17" s="765">
        <v>16679</v>
      </c>
      <c r="AC17" s="766">
        <v>15.53715</v>
      </c>
      <c r="AD17" s="765">
        <v>0</v>
      </c>
      <c r="AE17" s="766">
        <v>0</v>
      </c>
      <c r="AF17" s="765">
        <v>893</v>
      </c>
      <c r="AG17" s="766">
        <v>0.36134390500000002</v>
      </c>
      <c r="AH17" s="765">
        <v>0</v>
      </c>
      <c r="AI17" s="766">
        <v>0</v>
      </c>
      <c r="AJ17" s="765">
        <v>0</v>
      </c>
      <c r="AK17" s="766">
        <v>0</v>
      </c>
      <c r="AL17" s="765">
        <v>0</v>
      </c>
      <c r="AM17" s="766">
        <v>0</v>
      </c>
      <c r="AN17" s="765">
        <v>17572</v>
      </c>
      <c r="AO17" s="766">
        <v>15.898493904999999</v>
      </c>
      <c r="AP17" s="765">
        <v>0</v>
      </c>
      <c r="AQ17" s="766">
        <v>0</v>
      </c>
      <c r="AR17" s="765">
        <v>0</v>
      </c>
      <c r="AS17" s="766">
        <v>0</v>
      </c>
      <c r="AT17" s="765">
        <v>0</v>
      </c>
      <c r="AU17" s="766">
        <v>0</v>
      </c>
      <c r="AV17" s="765">
        <v>0</v>
      </c>
      <c r="AW17" s="766">
        <v>0</v>
      </c>
      <c r="AX17" s="1972"/>
      <c r="AY17" s="726" t="s">
        <v>2601</v>
      </c>
      <c r="AZ17" s="765">
        <v>0</v>
      </c>
      <c r="BA17" s="766">
        <v>0</v>
      </c>
      <c r="BB17" s="765">
        <v>0</v>
      </c>
      <c r="BC17" s="766">
        <v>0</v>
      </c>
      <c r="BD17" s="765">
        <v>17572</v>
      </c>
      <c r="BE17" s="766">
        <v>1</v>
      </c>
      <c r="BF17" s="765">
        <v>0</v>
      </c>
      <c r="BG17" s="765">
        <v>8114</v>
      </c>
      <c r="BH17" s="765">
        <v>0</v>
      </c>
      <c r="BI17" s="765">
        <v>8114</v>
      </c>
      <c r="BJ17" s="765">
        <v>0</v>
      </c>
      <c r="BK17" s="765">
        <v>0</v>
      </c>
      <c r="BL17" s="766">
        <v>0</v>
      </c>
      <c r="BM17" s="765">
        <v>0</v>
      </c>
      <c r="BN17" s="765">
        <v>0</v>
      </c>
      <c r="BO17" s="766">
        <v>0</v>
      </c>
      <c r="BP17" s="765">
        <v>0</v>
      </c>
      <c r="BQ17" s="765">
        <v>0</v>
      </c>
      <c r="BR17" s="765">
        <v>0</v>
      </c>
      <c r="BS17" s="766">
        <v>0</v>
      </c>
      <c r="BT17" s="765">
        <v>0</v>
      </c>
      <c r="BU17" s="765">
        <v>6</v>
      </c>
      <c r="BV17" s="773">
        <v>0</v>
      </c>
    </row>
    <row r="18" spans="1:74" s="730" customFormat="1" ht="9.9499999999999993" customHeight="1">
      <c r="A18" s="1972"/>
      <c r="B18" s="769" t="s">
        <v>1502</v>
      </c>
      <c r="C18" s="1123">
        <v>3440528</v>
      </c>
      <c r="D18" s="768">
        <v>377177.78806781897</v>
      </c>
      <c r="E18" s="1123">
        <v>3721</v>
      </c>
      <c r="F18" s="768">
        <v>507.57991981000004</v>
      </c>
      <c r="G18" s="1123">
        <v>3444249</v>
      </c>
      <c r="H18" s="768">
        <v>377685.36798762891</v>
      </c>
      <c r="I18" s="1123">
        <v>8600974</v>
      </c>
      <c r="J18" s="768">
        <v>52402.753294167007</v>
      </c>
      <c r="K18" s="1123">
        <v>484622</v>
      </c>
      <c r="L18" s="768">
        <v>862.23396112899991</v>
      </c>
      <c r="M18" s="1123">
        <v>3155</v>
      </c>
      <c r="N18" s="768">
        <v>6.5409972905</v>
      </c>
      <c r="O18" s="1123">
        <v>2832677</v>
      </c>
      <c r="P18" s="768">
        <v>2022.6245675279999</v>
      </c>
      <c r="Q18" s="1123">
        <v>134101</v>
      </c>
      <c r="R18" s="768">
        <v>76.491705190149986</v>
      </c>
      <c r="S18" s="1123">
        <v>1274786</v>
      </c>
      <c r="T18" s="768">
        <v>535.771508907</v>
      </c>
      <c r="U18" s="1123">
        <v>199006</v>
      </c>
      <c r="V18" s="768">
        <v>77.375458255050006</v>
      </c>
      <c r="W18" s="1123">
        <v>4928347</v>
      </c>
      <c r="X18" s="768">
        <v>3581.0381982996996</v>
      </c>
      <c r="Y18" s="768">
        <v>4808.424259378</v>
      </c>
      <c r="Z18" s="1972"/>
      <c r="AA18" s="769" t="s">
        <v>1502</v>
      </c>
      <c r="AB18" s="767">
        <v>47636254</v>
      </c>
      <c r="AC18" s="768">
        <v>41015.426874660996</v>
      </c>
      <c r="AD18" s="767">
        <v>1416</v>
      </c>
      <c r="AE18" s="768">
        <v>5.1691082422000001</v>
      </c>
      <c r="AF18" s="767">
        <v>2724864</v>
      </c>
      <c r="AG18" s="768">
        <v>1219.8139210490001</v>
      </c>
      <c r="AH18" s="767">
        <v>8769</v>
      </c>
      <c r="AI18" s="768">
        <v>3.0938137951</v>
      </c>
      <c r="AJ18" s="767">
        <v>3338243</v>
      </c>
      <c r="AK18" s="768">
        <v>660.22336455000004</v>
      </c>
      <c r="AL18" s="767">
        <v>25430</v>
      </c>
      <c r="AM18" s="768">
        <v>6.4260200064999999</v>
      </c>
      <c r="AN18" s="767">
        <v>53734976</v>
      </c>
      <c r="AO18" s="768">
        <v>42910.153102303797</v>
      </c>
      <c r="AP18" s="767">
        <v>626431</v>
      </c>
      <c r="AQ18" s="768">
        <v>394.44365449799989</v>
      </c>
      <c r="AR18" s="767">
        <v>199365</v>
      </c>
      <c r="AS18" s="768">
        <v>35.442795089599997</v>
      </c>
      <c r="AT18" s="767">
        <v>140099</v>
      </c>
      <c r="AU18" s="768">
        <v>156.27242837500003</v>
      </c>
      <c r="AV18" s="767">
        <v>137108</v>
      </c>
      <c r="AW18" s="768">
        <v>98.550511459999996</v>
      </c>
      <c r="AX18" s="1972"/>
      <c r="AY18" s="769" t="s">
        <v>1502</v>
      </c>
      <c r="AZ18" s="767">
        <v>102022</v>
      </c>
      <c r="BA18" s="768">
        <v>20.972586201999999</v>
      </c>
      <c r="BB18" s="767">
        <v>379229</v>
      </c>
      <c r="BC18" s="768">
        <v>275.79552603700006</v>
      </c>
      <c r="BD18" s="767">
        <v>59868348</v>
      </c>
      <c r="BE18" s="768">
        <v>47196.8732762281</v>
      </c>
      <c r="BF18" s="767">
        <v>1478377</v>
      </c>
      <c r="BG18" s="767">
        <v>19378715</v>
      </c>
      <c r="BH18" s="767">
        <v>469691</v>
      </c>
      <c r="BI18" s="767">
        <v>21326783</v>
      </c>
      <c r="BJ18" s="767">
        <v>2813720</v>
      </c>
      <c r="BK18" s="767">
        <v>5052355</v>
      </c>
      <c r="BL18" s="768">
        <v>10529.344104349</v>
      </c>
      <c r="BM18" s="767">
        <v>876096</v>
      </c>
      <c r="BN18" s="767">
        <v>831013782</v>
      </c>
      <c r="BO18" s="768">
        <v>152323.50398288702</v>
      </c>
      <c r="BP18" s="767">
        <v>73444359</v>
      </c>
      <c r="BQ18" s="767">
        <v>9928</v>
      </c>
      <c r="BR18" s="767">
        <v>21097146</v>
      </c>
      <c r="BS18" s="768">
        <v>81866.012484787992</v>
      </c>
      <c r="BT18" s="767">
        <v>8000995</v>
      </c>
      <c r="BU18" s="767">
        <v>10885</v>
      </c>
      <c r="BV18" s="774">
        <v>67106</v>
      </c>
    </row>
    <row r="19" spans="1:74" s="730" customFormat="1" ht="9.9499999999999993" customHeight="1">
      <c r="A19" s="1972"/>
      <c r="B19" s="726" t="s">
        <v>1510</v>
      </c>
      <c r="C19" s="1124">
        <v>319297</v>
      </c>
      <c r="D19" s="766">
        <v>38114.885967142</v>
      </c>
      <c r="E19" s="1124">
        <v>216</v>
      </c>
      <c r="F19" s="766">
        <v>1.0356877</v>
      </c>
      <c r="G19" s="1124">
        <v>319513</v>
      </c>
      <c r="H19" s="766">
        <v>38115.921654842001</v>
      </c>
      <c r="I19" s="1124">
        <v>1773413</v>
      </c>
      <c r="J19" s="766">
        <v>16924.706171803999</v>
      </c>
      <c r="K19" s="1124">
        <v>18805</v>
      </c>
      <c r="L19" s="766">
        <v>15.905425447000001</v>
      </c>
      <c r="M19" s="1124">
        <v>107</v>
      </c>
      <c r="N19" s="766">
        <v>0.14515013300000001</v>
      </c>
      <c r="O19" s="1124">
        <v>632408</v>
      </c>
      <c r="P19" s="766">
        <v>300.705830843</v>
      </c>
      <c r="Q19" s="1124">
        <v>3868</v>
      </c>
      <c r="R19" s="766">
        <v>1.260328101</v>
      </c>
      <c r="S19" s="1124">
        <v>279340</v>
      </c>
      <c r="T19" s="766">
        <v>99.651032699000012</v>
      </c>
      <c r="U19" s="1124">
        <v>21301</v>
      </c>
      <c r="V19" s="766">
        <v>4.8333695780000001</v>
      </c>
      <c r="W19" s="1124">
        <v>955829</v>
      </c>
      <c r="X19" s="766">
        <v>422.50113680099992</v>
      </c>
      <c r="Y19" s="766">
        <v>705.634714282</v>
      </c>
      <c r="Z19" s="1972"/>
      <c r="AA19" s="726" t="s">
        <v>1510</v>
      </c>
      <c r="AB19" s="765">
        <v>1784606</v>
      </c>
      <c r="AC19" s="766">
        <v>2085.1925170009999</v>
      </c>
      <c r="AD19" s="765">
        <v>1359</v>
      </c>
      <c r="AE19" s="766">
        <v>4.8780123939999998</v>
      </c>
      <c r="AF19" s="765">
        <v>317779</v>
      </c>
      <c r="AG19" s="766">
        <v>119.83742604100001</v>
      </c>
      <c r="AH19" s="765">
        <v>2309</v>
      </c>
      <c r="AI19" s="766">
        <v>3.2523042234999999</v>
      </c>
      <c r="AJ19" s="765">
        <v>208093</v>
      </c>
      <c r="AK19" s="766">
        <v>56.116292438999992</v>
      </c>
      <c r="AL19" s="765">
        <v>4893</v>
      </c>
      <c r="AM19" s="766">
        <v>3.3950375559999992</v>
      </c>
      <c r="AN19" s="765">
        <v>2319039</v>
      </c>
      <c r="AO19" s="766">
        <v>2272.6715896545002</v>
      </c>
      <c r="AP19" s="765">
        <v>0</v>
      </c>
      <c r="AQ19" s="766">
        <v>0</v>
      </c>
      <c r="AR19" s="765">
        <v>535</v>
      </c>
      <c r="AS19" s="766">
        <v>0.13938499009999999</v>
      </c>
      <c r="AT19" s="765">
        <v>21411</v>
      </c>
      <c r="AU19" s="766">
        <v>44.065489999999997</v>
      </c>
      <c r="AV19" s="765">
        <v>0</v>
      </c>
      <c r="AW19" s="766">
        <v>0</v>
      </c>
      <c r="AX19" s="1972"/>
      <c r="AY19" s="726" t="s">
        <v>1510</v>
      </c>
      <c r="AZ19" s="765">
        <v>0</v>
      </c>
      <c r="BA19" s="766">
        <v>0</v>
      </c>
      <c r="BB19" s="765">
        <v>21411</v>
      </c>
      <c r="BC19" s="766">
        <v>44.065489999999997</v>
      </c>
      <c r="BD19" s="765">
        <v>3296814</v>
      </c>
      <c r="BE19" s="766">
        <v>2739.3776014455998</v>
      </c>
      <c r="BF19" s="765">
        <v>132006</v>
      </c>
      <c r="BG19" s="765">
        <v>323577</v>
      </c>
      <c r="BH19" s="765">
        <v>121436</v>
      </c>
      <c r="BI19" s="765">
        <v>577019</v>
      </c>
      <c r="BJ19" s="765">
        <v>200699</v>
      </c>
      <c r="BK19" s="765">
        <v>1312992</v>
      </c>
      <c r="BL19" s="766">
        <v>9532.4205548680002</v>
      </c>
      <c r="BM19" s="765">
        <v>0</v>
      </c>
      <c r="BN19" s="765">
        <v>0</v>
      </c>
      <c r="BO19" s="766">
        <v>0</v>
      </c>
      <c r="BP19" s="765">
        <v>0</v>
      </c>
      <c r="BQ19" s="765">
        <v>0</v>
      </c>
      <c r="BR19" s="765">
        <v>0</v>
      </c>
      <c r="BS19" s="766">
        <v>0</v>
      </c>
      <c r="BT19" s="765">
        <v>0</v>
      </c>
      <c r="BU19" s="765">
        <v>157</v>
      </c>
      <c r="BV19" s="773">
        <v>0</v>
      </c>
    </row>
    <row r="20" spans="1:74" s="730" customFormat="1" ht="9.9499999999999993" customHeight="1">
      <c r="A20" s="1974"/>
      <c r="B20" s="1282" t="s">
        <v>659</v>
      </c>
      <c r="C20" s="1501">
        <v>4776867</v>
      </c>
      <c r="D20" s="1121">
        <v>559629.41678648687</v>
      </c>
      <c r="E20" s="1501">
        <v>69480</v>
      </c>
      <c r="F20" s="1121">
        <v>2441.1893782100001</v>
      </c>
      <c r="G20" s="1501">
        <v>4846347</v>
      </c>
      <c r="H20" s="1121">
        <v>562070.60616469686</v>
      </c>
      <c r="I20" s="1501">
        <v>11106562</v>
      </c>
      <c r="J20" s="1121">
        <v>74505.179338568007</v>
      </c>
      <c r="K20" s="1501">
        <v>514865</v>
      </c>
      <c r="L20" s="1121">
        <v>891.22201662599991</v>
      </c>
      <c r="M20" s="1501">
        <v>3262</v>
      </c>
      <c r="N20" s="1121">
        <v>6.6861474234999996</v>
      </c>
      <c r="O20" s="1501">
        <v>3477134</v>
      </c>
      <c r="P20" s="1121">
        <v>2329.1931198729999</v>
      </c>
      <c r="Q20" s="1501">
        <v>138042</v>
      </c>
      <c r="R20" s="1121">
        <v>77.80379883614998</v>
      </c>
      <c r="S20" s="1501">
        <v>1558923</v>
      </c>
      <c r="T20" s="1121">
        <v>637.36674387799997</v>
      </c>
      <c r="U20" s="1501">
        <v>220314</v>
      </c>
      <c r="V20" s="1121">
        <v>82.210355827050009</v>
      </c>
      <c r="W20" s="1501">
        <v>5912540</v>
      </c>
      <c r="X20" s="1121">
        <v>4024.4821824636997</v>
      </c>
      <c r="Y20" s="1121">
        <v>5541.9510129200007</v>
      </c>
      <c r="Z20" s="1974"/>
      <c r="AA20" s="1282" t="s">
        <v>659</v>
      </c>
      <c r="AB20" s="1120">
        <v>50707393</v>
      </c>
      <c r="AC20" s="1121">
        <v>44366.286953761999</v>
      </c>
      <c r="AD20" s="1120">
        <v>2775</v>
      </c>
      <c r="AE20" s="1121">
        <v>10.047120636199999</v>
      </c>
      <c r="AF20" s="1120">
        <v>3230800</v>
      </c>
      <c r="AG20" s="1121">
        <v>1395.8685374730003</v>
      </c>
      <c r="AH20" s="1120">
        <v>11078</v>
      </c>
      <c r="AI20" s="1121">
        <v>6.3461180186000004</v>
      </c>
      <c r="AJ20" s="1120">
        <v>3669290</v>
      </c>
      <c r="AK20" s="1121">
        <v>748.32035778900001</v>
      </c>
      <c r="AL20" s="1120">
        <v>30323</v>
      </c>
      <c r="AM20" s="1121">
        <v>9.8210575624999983</v>
      </c>
      <c r="AN20" s="1120">
        <v>57651659</v>
      </c>
      <c r="AO20" s="1121">
        <v>46536.690145241293</v>
      </c>
      <c r="AP20" s="1120">
        <v>638963</v>
      </c>
      <c r="AQ20" s="1121">
        <v>413.20473813599989</v>
      </c>
      <c r="AR20" s="1120">
        <v>199900</v>
      </c>
      <c r="AS20" s="1121">
        <v>35.582180079699995</v>
      </c>
      <c r="AT20" s="1120">
        <v>161510</v>
      </c>
      <c r="AU20" s="1121">
        <v>200.33791837500002</v>
      </c>
      <c r="AV20" s="1120">
        <v>137108</v>
      </c>
      <c r="AW20" s="1121">
        <v>98.550511459999996</v>
      </c>
      <c r="AX20" s="1974"/>
      <c r="AY20" s="1282" t="s">
        <v>659</v>
      </c>
      <c r="AZ20" s="1120">
        <v>102022</v>
      </c>
      <c r="BA20" s="1121">
        <v>20.972586201999999</v>
      </c>
      <c r="BB20" s="1120">
        <v>400640</v>
      </c>
      <c r="BC20" s="1121">
        <v>319.86101603700007</v>
      </c>
      <c r="BD20" s="1120">
        <v>64803702</v>
      </c>
      <c r="BE20" s="1121">
        <v>51314.9217680527</v>
      </c>
      <c r="BF20" s="1120">
        <v>1619788</v>
      </c>
      <c r="BG20" s="1120">
        <v>20295617</v>
      </c>
      <c r="BH20" s="1120">
        <v>615894</v>
      </c>
      <c r="BI20" s="1120">
        <v>22531299</v>
      </c>
      <c r="BJ20" s="1120">
        <v>3014419</v>
      </c>
      <c r="BK20" s="1120">
        <v>6365347</v>
      </c>
      <c r="BL20" s="1121">
        <v>20061.764659216999</v>
      </c>
      <c r="BM20" s="1120">
        <v>1017055</v>
      </c>
      <c r="BN20" s="1120">
        <v>853276638</v>
      </c>
      <c r="BO20" s="1121">
        <v>153525.04164507703</v>
      </c>
      <c r="BP20" s="1120">
        <v>94786991</v>
      </c>
      <c r="BQ20" s="1120">
        <v>10173</v>
      </c>
      <c r="BR20" s="1120">
        <v>21592232</v>
      </c>
      <c r="BS20" s="1121">
        <v>82984.646316687998</v>
      </c>
      <c r="BT20" s="1120">
        <v>8224614</v>
      </c>
      <c r="BU20" s="1120">
        <v>11327</v>
      </c>
      <c r="BV20" s="1517">
        <v>67106</v>
      </c>
    </row>
    <row r="21" spans="1:74" s="730" customFormat="1" ht="9.9499999999999993" customHeight="1">
      <c r="A21" s="1970" t="s">
        <v>1719</v>
      </c>
      <c r="B21" s="726" t="s">
        <v>2600</v>
      </c>
      <c r="C21" s="1124">
        <v>1070367</v>
      </c>
      <c r="D21" s="766">
        <v>146709.772129772</v>
      </c>
      <c r="E21" s="1124">
        <v>81235</v>
      </c>
      <c r="F21" s="766">
        <v>2307.244120454</v>
      </c>
      <c r="G21" s="1124">
        <v>1151602</v>
      </c>
      <c r="H21" s="766">
        <v>149017.01625022601</v>
      </c>
      <c r="I21" s="1124">
        <v>379617</v>
      </c>
      <c r="J21" s="766">
        <v>4405.820500459</v>
      </c>
      <c r="K21" s="1124">
        <v>14680</v>
      </c>
      <c r="L21" s="766">
        <v>15.296272600000002</v>
      </c>
      <c r="M21" s="1124">
        <v>0</v>
      </c>
      <c r="N21" s="766">
        <v>0</v>
      </c>
      <c r="O21" s="1124">
        <v>17841</v>
      </c>
      <c r="P21" s="766">
        <v>8.3283314369999992</v>
      </c>
      <c r="Q21" s="1124">
        <v>115</v>
      </c>
      <c r="R21" s="766">
        <v>0.11912779999999999</v>
      </c>
      <c r="S21" s="1124">
        <v>8394</v>
      </c>
      <c r="T21" s="766">
        <v>4.1555818000000002</v>
      </c>
      <c r="U21" s="1124">
        <v>0</v>
      </c>
      <c r="V21" s="766">
        <v>0</v>
      </c>
      <c r="W21" s="1124">
        <v>41030</v>
      </c>
      <c r="X21" s="766">
        <v>27.899313636999999</v>
      </c>
      <c r="Y21" s="766">
        <v>42.886936530999996</v>
      </c>
      <c r="Z21" s="1970" t="s">
        <v>1719</v>
      </c>
      <c r="AA21" s="726" t="s">
        <v>2600</v>
      </c>
      <c r="AB21" s="765">
        <v>1497295</v>
      </c>
      <c r="AC21" s="766">
        <v>1386.0652223000002</v>
      </c>
      <c r="AD21" s="765">
        <v>0</v>
      </c>
      <c r="AE21" s="766">
        <v>0</v>
      </c>
      <c r="AF21" s="765">
        <v>227947</v>
      </c>
      <c r="AG21" s="766">
        <v>60.996064920000002</v>
      </c>
      <c r="AH21" s="765">
        <v>0</v>
      </c>
      <c r="AI21" s="766">
        <v>0</v>
      </c>
      <c r="AJ21" s="765">
        <v>144013</v>
      </c>
      <c r="AK21" s="766">
        <v>32.374253299999999</v>
      </c>
      <c r="AL21" s="765">
        <v>0</v>
      </c>
      <c r="AM21" s="766">
        <v>0</v>
      </c>
      <c r="AN21" s="765">
        <v>1869255</v>
      </c>
      <c r="AO21" s="766">
        <v>1479.4355405200001</v>
      </c>
      <c r="AP21" s="765">
        <v>7667</v>
      </c>
      <c r="AQ21" s="766">
        <v>9.0456965410000016</v>
      </c>
      <c r="AR21" s="765">
        <v>0</v>
      </c>
      <c r="AS21" s="766">
        <v>0</v>
      </c>
      <c r="AT21" s="765">
        <v>0</v>
      </c>
      <c r="AU21" s="766">
        <v>0</v>
      </c>
      <c r="AV21" s="765">
        <v>0</v>
      </c>
      <c r="AW21" s="766">
        <v>0</v>
      </c>
      <c r="AX21" s="1970" t="s">
        <v>1719</v>
      </c>
      <c r="AY21" s="726" t="s">
        <v>2600</v>
      </c>
      <c r="AZ21" s="765">
        <v>0</v>
      </c>
      <c r="BA21" s="766">
        <v>0</v>
      </c>
      <c r="BB21" s="765">
        <v>0</v>
      </c>
      <c r="BC21" s="766">
        <v>0</v>
      </c>
      <c r="BD21" s="765">
        <v>1917952</v>
      </c>
      <c r="BE21" s="766">
        <v>1516.3805506980002</v>
      </c>
      <c r="BF21" s="765">
        <v>9934</v>
      </c>
      <c r="BG21" s="765">
        <v>641665</v>
      </c>
      <c r="BH21" s="765">
        <v>24804</v>
      </c>
      <c r="BI21" s="765">
        <v>676403</v>
      </c>
      <c r="BJ21" s="765">
        <v>0</v>
      </c>
      <c r="BK21" s="765">
        <v>0</v>
      </c>
      <c r="BL21" s="766">
        <v>0</v>
      </c>
      <c r="BM21" s="765">
        <v>141630</v>
      </c>
      <c r="BN21" s="765">
        <v>1303453</v>
      </c>
      <c r="BO21" s="766">
        <v>152.43950451000001</v>
      </c>
      <c r="BP21" s="765">
        <v>21382409</v>
      </c>
      <c r="BQ21" s="765">
        <v>245</v>
      </c>
      <c r="BR21" s="765">
        <v>610008</v>
      </c>
      <c r="BS21" s="766">
        <v>1208.9501970000001</v>
      </c>
      <c r="BT21" s="765">
        <v>262537</v>
      </c>
      <c r="BU21" s="765">
        <v>288</v>
      </c>
      <c r="BV21" s="773">
        <v>0</v>
      </c>
    </row>
    <row r="22" spans="1:74" s="730" customFormat="1" ht="9.9499999999999993" customHeight="1">
      <c r="A22" s="1972"/>
      <c r="B22" s="769" t="s">
        <v>2601</v>
      </c>
      <c r="C22" s="1123">
        <v>42477</v>
      </c>
      <c r="D22" s="768">
        <v>6224.6096048959998</v>
      </c>
      <c r="E22" s="1123">
        <v>9792</v>
      </c>
      <c r="F22" s="768">
        <v>44.645227700000007</v>
      </c>
      <c r="G22" s="1123">
        <v>52269</v>
      </c>
      <c r="H22" s="768">
        <v>6269.2548325959997</v>
      </c>
      <c r="I22" s="1123">
        <v>4548</v>
      </c>
      <c r="J22" s="768">
        <v>155.00596214000001</v>
      </c>
      <c r="K22" s="1123">
        <v>0</v>
      </c>
      <c r="L22" s="768">
        <v>0</v>
      </c>
      <c r="M22" s="1123">
        <v>0</v>
      </c>
      <c r="N22" s="768">
        <v>0</v>
      </c>
      <c r="O22" s="1123">
        <v>0</v>
      </c>
      <c r="P22" s="768">
        <v>0</v>
      </c>
      <c r="Q22" s="1123">
        <v>0</v>
      </c>
      <c r="R22" s="768">
        <v>0</v>
      </c>
      <c r="S22" s="1123">
        <v>0</v>
      </c>
      <c r="T22" s="768">
        <v>0</v>
      </c>
      <c r="U22" s="1123">
        <v>0</v>
      </c>
      <c r="V22" s="768">
        <v>0</v>
      </c>
      <c r="W22" s="1123">
        <v>0</v>
      </c>
      <c r="X22" s="768">
        <v>0</v>
      </c>
      <c r="Y22" s="768">
        <v>0</v>
      </c>
      <c r="Z22" s="1971"/>
      <c r="AA22" s="769" t="s">
        <v>2601</v>
      </c>
      <c r="AB22" s="767">
        <v>19681</v>
      </c>
      <c r="AC22" s="768">
        <v>17.04674</v>
      </c>
      <c r="AD22" s="767">
        <v>0</v>
      </c>
      <c r="AE22" s="768">
        <v>0</v>
      </c>
      <c r="AF22" s="767">
        <v>1266</v>
      </c>
      <c r="AG22" s="768">
        <v>0.44248089899999998</v>
      </c>
      <c r="AH22" s="767">
        <v>0</v>
      </c>
      <c r="AI22" s="768">
        <v>0</v>
      </c>
      <c r="AJ22" s="767">
        <v>0</v>
      </c>
      <c r="AK22" s="768">
        <v>0</v>
      </c>
      <c r="AL22" s="767">
        <v>0</v>
      </c>
      <c r="AM22" s="768">
        <v>0</v>
      </c>
      <c r="AN22" s="767">
        <v>20947</v>
      </c>
      <c r="AO22" s="768">
        <v>17.489220899000003</v>
      </c>
      <c r="AP22" s="767">
        <v>0</v>
      </c>
      <c r="AQ22" s="768">
        <v>0</v>
      </c>
      <c r="AR22" s="767">
        <v>0</v>
      </c>
      <c r="AS22" s="768">
        <v>0</v>
      </c>
      <c r="AT22" s="767">
        <v>0</v>
      </c>
      <c r="AU22" s="768">
        <v>0</v>
      </c>
      <c r="AV22" s="767">
        <v>0</v>
      </c>
      <c r="AW22" s="768">
        <v>0</v>
      </c>
      <c r="AX22" s="1972"/>
      <c r="AY22" s="769" t="s">
        <v>2601</v>
      </c>
      <c r="AZ22" s="767">
        <v>0</v>
      </c>
      <c r="BA22" s="768">
        <v>0</v>
      </c>
      <c r="BB22" s="767">
        <v>0</v>
      </c>
      <c r="BC22" s="768">
        <v>0</v>
      </c>
      <c r="BD22" s="767">
        <v>20947</v>
      </c>
      <c r="BE22" s="768">
        <v>1</v>
      </c>
      <c r="BF22" s="767">
        <v>0</v>
      </c>
      <c r="BG22" s="767">
        <v>8977</v>
      </c>
      <c r="BH22" s="767">
        <v>0</v>
      </c>
      <c r="BI22" s="767">
        <v>8977</v>
      </c>
      <c r="BJ22" s="767">
        <v>0</v>
      </c>
      <c r="BK22" s="767">
        <v>0</v>
      </c>
      <c r="BL22" s="768">
        <v>0</v>
      </c>
      <c r="BM22" s="767">
        <v>0</v>
      </c>
      <c r="BN22" s="767">
        <v>0</v>
      </c>
      <c r="BO22" s="768">
        <v>0</v>
      </c>
      <c r="BP22" s="767">
        <v>0</v>
      </c>
      <c r="BQ22" s="767">
        <v>0</v>
      </c>
      <c r="BR22" s="767">
        <v>0</v>
      </c>
      <c r="BS22" s="768">
        <v>0</v>
      </c>
      <c r="BT22" s="767">
        <v>0</v>
      </c>
      <c r="BU22" s="767">
        <v>6</v>
      </c>
      <c r="BV22" s="774">
        <v>0</v>
      </c>
    </row>
    <row r="23" spans="1:74" s="730" customFormat="1" ht="9.9499999999999993" customHeight="1">
      <c r="A23" s="1972"/>
      <c r="B23" s="726" t="s">
        <v>1502</v>
      </c>
      <c r="C23" s="1124">
        <v>3770984</v>
      </c>
      <c r="D23" s="766">
        <v>413622.69041353994</v>
      </c>
      <c r="E23" s="1124">
        <v>3243</v>
      </c>
      <c r="F23" s="766">
        <v>555.79868494900006</v>
      </c>
      <c r="G23" s="1124">
        <v>3774227</v>
      </c>
      <c r="H23" s="766">
        <v>414178.48909848894</v>
      </c>
      <c r="I23" s="1124">
        <v>7095894</v>
      </c>
      <c r="J23" s="766">
        <v>62145.886214302998</v>
      </c>
      <c r="K23" s="1124">
        <v>741058</v>
      </c>
      <c r="L23" s="766">
        <v>593.85917462299994</v>
      </c>
      <c r="M23" s="1124">
        <v>3685</v>
      </c>
      <c r="N23" s="766">
        <v>7.4297941813500001</v>
      </c>
      <c r="O23" s="1124">
        <v>3630652</v>
      </c>
      <c r="P23" s="766">
        <v>2324.4978228049995</v>
      </c>
      <c r="Q23" s="1124">
        <v>170505</v>
      </c>
      <c r="R23" s="766">
        <v>125.67346570954999</v>
      </c>
      <c r="S23" s="1124">
        <v>1417573</v>
      </c>
      <c r="T23" s="766">
        <v>647.35870591299999</v>
      </c>
      <c r="U23" s="1124">
        <v>298994</v>
      </c>
      <c r="V23" s="766">
        <v>103.10927490795001</v>
      </c>
      <c r="W23" s="1124">
        <v>6262467</v>
      </c>
      <c r="X23" s="766">
        <v>3801.9282381398493</v>
      </c>
      <c r="Y23" s="766">
        <v>5122.9692683520007</v>
      </c>
      <c r="Z23" s="1971"/>
      <c r="AA23" s="726" t="s">
        <v>1502</v>
      </c>
      <c r="AB23" s="765">
        <v>55758483</v>
      </c>
      <c r="AC23" s="766">
        <v>46995.524306130006</v>
      </c>
      <c r="AD23" s="765">
        <v>1905</v>
      </c>
      <c r="AE23" s="766">
        <v>9.7790513050000012</v>
      </c>
      <c r="AF23" s="765">
        <v>3234989</v>
      </c>
      <c r="AG23" s="766">
        <v>1263.8860080499996</v>
      </c>
      <c r="AH23" s="765">
        <v>15745</v>
      </c>
      <c r="AI23" s="766">
        <v>7.3616736889999999</v>
      </c>
      <c r="AJ23" s="765">
        <v>3029383</v>
      </c>
      <c r="AK23" s="766">
        <v>531.63021050999998</v>
      </c>
      <c r="AL23" s="765">
        <v>55050</v>
      </c>
      <c r="AM23" s="766">
        <v>12.433113359</v>
      </c>
      <c r="AN23" s="765">
        <v>62095555</v>
      </c>
      <c r="AO23" s="766">
        <v>48820.614363043002</v>
      </c>
      <c r="AP23" s="765">
        <v>622528</v>
      </c>
      <c r="AQ23" s="766">
        <v>436.96558935900003</v>
      </c>
      <c r="AR23" s="765">
        <v>386815</v>
      </c>
      <c r="AS23" s="766">
        <v>57.434325359749998</v>
      </c>
      <c r="AT23" s="765">
        <v>161357</v>
      </c>
      <c r="AU23" s="766">
        <v>169.68902332700003</v>
      </c>
      <c r="AV23" s="765">
        <v>205640</v>
      </c>
      <c r="AW23" s="766">
        <v>145.43258324800001</v>
      </c>
      <c r="AX23" s="1972"/>
      <c r="AY23" s="726" t="s">
        <v>1502</v>
      </c>
      <c r="AZ23" s="765">
        <v>95923</v>
      </c>
      <c r="BA23" s="766">
        <v>26.465494218000003</v>
      </c>
      <c r="BB23" s="765">
        <v>462920</v>
      </c>
      <c r="BC23" s="766">
        <v>341.58710079299999</v>
      </c>
      <c r="BD23" s="765">
        <v>69830285</v>
      </c>
      <c r="BE23" s="766">
        <v>53458.529616694599</v>
      </c>
      <c r="BF23" s="765">
        <v>1534477</v>
      </c>
      <c r="BG23" s="765">
        <v>20390938</v>
      </c>
      <c r="BH23" s="765">
        <v>554398</v>
      </c>
      <c r="BI23" s="765">
        <v>22479813</v>
      </c>
      <c r="BJ23" s="765">
        <v>3037447</v>
      </c>
      <c r="BK23" s="765">
        <v>5377782</v>
      </c>
      <c r="BL23" s="766">
        <v>11629.232379370998</v>
      </c>
      <c r="BM23" s="765">
        <v>917267</v>
      </c>
      <c r="BN23" s="765">
        <v>869691487</v>
      </c>
      <c r="BO23" s="766">
        <v>163261.56285031</v>
      </c>
      <c r="BP23" s="765">
        <v>77953789</v>
      </c>
      <c r="BQ23" s="765">
        <v>11684</v>
      </c>
      <c r="BR23" s="765">
        <v>26900332</v>
      </c>
      <c r="BS23" s="766">
        <v>97926.885765428</v>
      </c>
      <c r="BT23" s="765">
        <v>9383462</v>
      </c>
      <c r="BU23" s="765">
        <v>11473</v>
      </c>
      <c r="BV23" s="773">
        <v>73229</v>
      </c>
    </row>
    <row r="24" spans="1:74" s="730" customFormat="1" ht="9.9499999999999993" customHeight="1">
      <c r="A24" s="1972"/>
      <c r="B24" s="769" t="s">
        <v>1510</v>
      </c>
      <c r="C24" s="1123">
        <v>331687</v>
      </c>
      <c r="D24" s="768">
        <v>37311.152103568995</v>
      </c>
      <c r="E24" s="1123">
        <v>148</v>
      </c>
      <c r="F24" s="768">
        <v>0.78604370000000001</v>
      </c>
      <c r="G24" s="1123">
        <v>331835</v>
      </c>
      <c r="H24" s="768">
        <v>37311.938147269</v>
      </c>
      <c r="I24" s="1123">
        <v>1642552</v>
      </c>
      <c r="J24" s="768">
        <v>17814.637157117002</v>
      </c>
      <c r="K24" s="1123">
        <v>26349</v>
      </c>
      <c r="L24" s="768">
        <v>24.666701351</v>
      </c>
      <c r="M24" s="1123">
        <v>93</v>
      </c>
      <c r="N24" s="768">
        <v>0.121572048</v>
      </c>
      <c r="O24" s="1123">
        <v>787393</v>
      </c>
      <c r="P24" s="768">
        <v>363.86543164</v>
      </c>
      <c r="Q24" s="1123">
        <v>4169</v>
      </c>
      <c r="R24" s="768">
        <v>2.5263763959999999</v>
      </c>
      <c r="S24" s="1123">
        <v>395575</v>
      </c>
      <c r="T24" s="768">
        <v>149.91918323699997</v>
      </c>
      <c r="U24" s="1123">
        <v>22650</v>
      </c>
      <c r="V24" s="768">
        <v>5.3415870700000001</v>
      </c>
      <c r="W24" s="1123">
        <v>1236229</v>
      </c>
      <c r="X24" s="768">
        <v>546.44085174199995</v>
      </c>
      <c r="Y24" s="768">
        <v>754.85766349000005</v>
      </c>
      <c r="Z24" s="1971"/>
      <c r="AA24" s="769" t="s">
        <v>1510</v>
      </c>
      <c r="AB24" s="767">
        <v>1931496</v>
      </c>
      <c r="AC24" s="768">
        <v>2122.329849188</v>
      </c>
      <c r="AD24" s="767">
        <v>1311</v>
      </c>
      <c r="AE24" s="768">
        <v>3.9944034826000001</v>
      </c>
      <c r="AF24" s="767">
        <v>390091</v>
      </c>
      <c r="AG24" s="768">
        <v>139.990362847</v>
      </c>
      <c r="AH24" s="767">
        <v>1865</v>
      </c>
      <c r="AI24" s="768">
        <v>3.7309619708500001</v>
      </c>
      <c r="AJ24" s="767">
        <v>235805</v>
      </c>
      <c r="AK24" s="768">
        <v>66.003473896999992</v>
      </c>
      <c r="AL24" s="767">
        <v>4920</v>
      </c>
      <c r="AM24" s="768">
        <v>3.78229336305</v>
      </c>
      <c r="AN24" s="767">
        <v>2565488</v>
      </c>
      <c r="AO24" s="768">
        <v>2339.8313447484998</v>
      </c>
      <c r="AP24" s="767">
        <v>0</v>
      </c>
      <c r="AQ24" s="768">
        <v>0</v>
      </c>
      <c r="AR24" s="767">
        <v>4772</v>
      </c>
      <c r="AS24" s="768">
        <v>1.763150781</v>
      </c>
      <c r="AT24" s="767">
        <v>26533</v>
      </c>
      <c r="AU24" s="768">
        <v>54.264879999999998</v>
      </c>
      <c r="AV24" s="767">
        <v>0</v>
      </c>
      <c r="AW24" s="768">
        <v>0</v>
      </c>
      <c r="AX24" s="1972"/>
      <c r="AY24" s="769" t="s">
        <v>1510</v>
      </c>
      <c r="AZ24" s="767">
        <v>0</v>
      </c>
      <c r="BA24" s="768">
        <v>0</v>
      </c>
      <c r="BB24" s="767">
        <v>26533</v>
      </c>
      <c r="BC24" s="768">
        <v>54.264879999999998</v>
      </c>
      <c r="BD24" s="767">
        <v>3833022</v>
      </c>
      <c r="BE24" s="768">
        <v>2942.3002272714994</v>
      </c>
      <c r="BF24" s="767">
        <v>132405</v>
      </c>
      <c r="BG24" s="767">
        <v>335711</v>
      </c>
      <c r="BH24" s="767">
        <v>119982</v>
      </c>
      <c r="BI24" s="767">
        <v>588098</v>
      </c>
      <c r="BJ24" s="767">
        <v>207886</v>
      </c>
      <c r="BK24" s="767">
        <v>1341799</v>
      </c>
      <c r="BL24" s="768">
        <v>10744.657533239999</v>
      </c>
      <c r="BM24" s="767">
        <v>0</v>
      </c>
      <c r="BN24" s="767">
        <v>0</v>
      </c>
      <c r="BO24" s="768">
        <v>0</v>
      </c>
      <c r="BP24" s="767">
        <v>0</v>
      </c>
      <c r="BQ24" s="767">
        <v>0</v>
      </c>
      <c r="BR24" s="767">
        <v>0</v>
      </c>
      <c r="BS24" s="768">
        <v>0</v>
      </c>
      <c r="BT24" s="767">
        <v>0</v>
      </c>
      <c r="BU24" s="767">
        <v>156</v>
      </c>
      <c r="BV24" s="774">
        <v>0</v>
      </c>
    </row>
    <row r="25" spans="1:74" s="730" customFormat="1" ht="9.9499999999999993" customHeight="1">
      <c r="A25" s="1947"/>
      <c r="B25" s="1432" t="s">
        <v>659</v>
      </c>
      <c r="C25" s="1428">
        <v>5215515</v>
      </c>
      <c r="D25" s="1429">
        <v>603868.22425177693</v>
      </c>
      <c r="E25" s="1428">
        <v>94418</v>
      </c>
      <c r="F25" s="1429">
        <v>2908.4740768029997</v>
      </c>
      <c r="G25" s="1428">
        <v>5309933</v>
      </c>
      <c r="H25" s="1429">
        <v>606776.69832857989</v>
      </c>
      <c r="I25" s="1428">
        <v>9122611</v>
      </c>
      <c r="J25" s="1429">
        <v>84521.349834018998</v>
      </c>
      <c r="K25" s="1428">
        <v>782087</v>
      </c>
      <c r="L25" s="1429">
        <v>633.82214857399993</v>
      </c>
      <c r="M25" s="1428">
        <v>3778</v>
      </c>
      <c r="N25" s="1429">
        <v>7.5513662293500001</v>
      </c>
      <c r="O25" s="1428">
        <v>4435886</v>
      </c>
      <c r="P25" s="1429">
        <v>2696.6915858819993</v>
      </c>
      <c r="Q25" s="1428">
        <v>174789</v>
      </c>
      <c r="R25" s="1429">
        <v>128.31896990554998</v>
      </c>
      <c r="S25" s="1428">
        <v>1821542</v>
      </c>
      <c r="T25" s="1429">
        <v>801.43347095000001</v>
      </c>
      <c r="U25" s="1428">
        <v>321644</v>
      </c>
      <c r="V25" s="1429">
        <v>108.45086197795001</v>
      </c>
      <c r="W25" s="1428">
        <v>7539726</v>
      </c>
      <c r="X25" s="1429">
        <v>4376.2684035188495</v>
      </c>
      <c r="Y25" s="1429">
        <v>5920.7138683730009</v>
      </c>
      <c r="Z25" s="1973"/>
      <c r="AA25" s="1432" t="s">
        <v>659</v>
      </c>
      <c r="AB25" s="1430">
        <v>59206955</v>
      </c>
      <c r="AC25" s="1429">
        <v>50520.966117618002</v>
      </c>
      <c r="AD25" s="1430">
        <v>3216</v>
      </c>
      <c r="AE25" s="1429">
        <v>13.773454787600002</v>
      </c>
      <c r="AF25" s="1430">
        <v>3854293</v>
      </c>
      <c r="AG25" s="1429">
        <v>1465.3149167159995</v>
      </c>
      <c r="AH25" s="1430">
        <v>17610</v>
      </c>
      <c r="AI25" s="1429">
        <v>11.09263565985</v>
      </c>
      <c r="AJ25" s="1430">
        <v>3409201</v>
      </c>
      <c r="AK25" s="1429">
        <v>630.00793770699988</v>
      </c>
      <c r="AL25" s="1430">
        <v>59970</v>
      </c>
      <c r="AM25" s="1429">
        <v>16.215406722049998</v>
      </c>
      <c r="AN25" s="1430">
        <v>66551245</v>
      </c>
      <c r="AO25" s="1429">
        <v>52657.370469210502</v>
      </c>
      <c r="AP25" s="1430">
        <v>630195</v>
      </c>
      <c r="AQ25" s="1429">
        <v>446.01128590000002</v>
      </c>
      <c r="AR25" s="1430">
        <v>391587</v>
      </c>
      <c r="AS25" s="1429">
        <v>59.197476140749998</v>
      </c>
      <c r="AT25" s="1430">
        <v>187890</v>
      </c>
      <c r="AU25" s="1429">
        <v>223.95390332700003</v>
      </c>
      <c r="AV25" s="1430">
        <v>205640</v>
      </c>
      <c r="AW25" s="1429">
        <v>145.43258324800001</v>
      </c>
      <c r="AX25" s="1947"/>
      <c r="AY25" s="1432" t="s">
        <v>659</v>
      </c>
      <c r="AZ25" s="1430">
        <v>95923</v>
      </c>
      <c r="BA25" s="1429">
        <v>26.465494218000003</v>
      </c>
      <c r="BB25" s="1430">
        <v>489453</v>
      </c>
      <c r="BC25" s="1429">
        <v>395.851980793</v>
      </c>
      <c r="BD25" s="1430">
        <v>75602206</v>
      </c>
      <c r="BE25" s="1429">
        <v>57918.2103946641</v>
      </c>
      <c r="BF25" s="1430">
        <v>1676816</v>
      </c>
      <c r="BG25" s="1430">
        <v>21377291</v>
      </c>
      <c r="BH25" s="1430">
        <v>699184</v>
      </c>
      <c r="BI25" s="1430">
        <v>23753291</v>
      </c>
      <c r="BJ25" s="1430">
        <v>3245333</v>
      </c>
      <c r="BK25" s="1430">
        <v>6719581</v>
      </c>
      <c r="BL25" s="1429">
        <v>22373.889912610997</v>
      </c>
      <c r="BM25" s="1430">
        <v>1058897</v>
      </c>
      <c r="BN25" s="1430">
        <v>870994940</v>
      </c>
      <c r="BO25" s="1429">
        <v>163414.00235482</v>
      </c>
      <c r="BP25" s="1430">
        <v>99336198</v>
      </c>
      <c r="BQ25" s="1430">
        <v>11929</v>
      </c>
      <c r="BR25" s="1430">
        <v>27510340</v>
      </c>
      <c r="BS25" s="1429">
        <v>99135.835962427998</v>
      </c>
      <c r="BT25" s="1430">
        <v>9645999</v>
      </c>
      <c r="BU25" s="1430">
        <v>11923</v>
      </c>
      <c r="BV25" s="1431">
        <v>73229</v>
      </c>
    </row>
    <row r="26" spans="1:74" s="730" customFormat="1" ht="9.9499999999999993" customHeight="1">
      <c r="A26" s="1970" t="s">
        <v>1574</v>
      </c>
      <c r="B26" s="1006" t="s">
        <v>2600</v>
      </c>
      <c r="C26" s="1336">
        <v>1140741</v>
      </c>
      <c r="D26" s="1119">
        <v>157811.61726348102</v>
      </c>
      <c r="E26" s="1336">
        <v>134559.35</v>
      </c>
      <c r="F26" s="1119">
        <v>1617.7630802190001</v>
      </c>
      <c r="G26" s="1336">
        <v>1275300.3500000001</v>
      </c>
      <c r="H26" s="1119">
        <v>159429.3803437</v>
      </c>
      <c r="I26" s="1336">
        <v>459733</v>
      </c>
      <c r="J26" s="1119">
        <v>4733.9491626349991</v>
      </c>
      <c r="K26" s="1336">
        <v>16242</v>
      </c>
      <c r="L26" s="1119">
        <v>16.171888689999999</v>
      </c>
      <c r="M26" s="1336">
        <v>0</v>
      </c>
      <c r="N26" s="1119">
        <v>0</v>
      </c>
      <c r="O26" s="1336">
        <v>17378</v>
      </c>
      <c r="P26" s="1119">
        <v>9.7975992460000008</v>
      </c>
      <c r="Q26" s="1336">
        <v>125</v>
      </c>
      <c r="R26" s="1119">
        <v>0.10437117800000001</v>
      </c>
      <c r="S26" s="1336">
        <v>10777</v>
      </c>
      <c r="T26" s="1119">
        <v>6.9923723599999992</v>
      </c>
      <c r="U26" s="1336">
        <v>0</v>
      </c>
      <c r="V26" s="1119">
        <v>0</v>
      </c>
      <c r="W26" s="1336">
        <v>44522</v>
      </c>
      <c r="X26" s="1119">
        <v>33.066231473999999</v>
      </c>
      <c r="Y26" s="1119">
        <v>31.113127879</v>
      </c>
      <c r="Z26" s="1970" t="s">
        <v>1574</v>
      </c>
      <c r="AA26" s="1006" t="s">
        <v>2600</v>
      </c>
      <c r="AB26" s="1118">
        <v>1776066</v>
      </c>
      <c r="AC26" s="1119">
        <v>1481.1190111000001</v>
      </c>
      <c r="AD26" s="1118">
        <v>0</v>
      </c>
      <c r="AE26" s="1119">
        <v>0</v>
      </c>
      <c r="AF26" s="1118">
        <v>210883</v>
      </c>
      <c r="AG26" s="1119">
        <v>53.470178368999996</v>
      </c>
      <c r="AH26" s="1118">
        <v>0</v>
      </c>
      <c r="AI26" s="1119">
        <v>0</v>
      </c>
      <c r="AJ26" s="1118">
        <v>152650</v>
      </c>
      <c r="AK26" s="1119">
        <v>33.933656899999995</v>
      </c>
      <c r="AL26" s="1118">
        <v>0</v>
      </c>
      <c r="AM26" s="1119">
        <v>0</v>
      </c>
      <c r="AN26" s="1118">
        <v>2139599</v>
      </c>
      <c r="AO26" s="1119">
        <v>1568.522846369</v>
      </c>
      <c r="AP26" s="1118">
        <v>7126</v>
      </c>
      <c r="AQ26" s="1119">
        <v>7.9506313249999998</v>
      </c>
      <c r="AR26" s="1118">
        <v>0</v>
      </c>
      <c r="AS26" s="1119">
        <v>0</v>
      </c>
      <c r="AT26" s="1118">
        <v>0</v>
      </c>
      <c r="AU26" s="1119">
        <v>0</v>
      </c>
      <c r="AV26" s="1118">
        <v>0</v>
      </c>
      <c r="AW26" s="1119">
        <v>0</v>
      </c>
      <c r="AX26" s="1970" t="s">
        <v>1574</v>
      </c>
      <c r="AY26" s="1006" t="s">
        <v>2600</v>
      </c>
      <c r="AZ26" s="1118">
        <v>0</v>
      </c>
      <c r="BA26" s="1119">
        <v>0</v>
      </c>
      <c r="BB26" s="1118">
        <v>0</v>
      </c>
      <c r="BC26" s="1119">
        <v>0</v>
      </c>
      <c r="BD26" s="1118">
        <v>2191247</v>
      </c>
      <c r="BE26" s="1119">
        <v>1609.5397091680002</v>
      </c>
      <c r="BF26" s="1118">
        <v>10276</v>
      </c>
      <c r="BG26" s="1118">
        <v>731094</v>
      </c>
      <c r="BH26" s="1118">
        <v>24886</v>
      </c>
      <c r="BI26" s="1118">
        <v>766256</v>
      </c>
      <c r="BJ26" s="1118">
        <v>0</v>
      </c>
      <c r="BK26" s="1118">
        <v>0</v>
      </c>
      <c r="BL26" s="1119">
        <v>0</v>
      </c>
      <c r="BM26" s="1118">
        <v>141929</v>
      </c>
      <c r="BN26" s="1118">
        <v>1761249</v>
      </c>
      <c r="BO26" s="1119">
        <v>419.46212619999994</v>
      </c>
      <c r="BP26" s="1118">
        <v>21453772</v>
      </c>
      <c r="BQ26" s="1118">
        <v>396</v>
      </c>
      <c r="BR26" s="1118">
        <v>633863</v>
      </c>
      <c r="BS26" s="1119">
        <v>1326.3361812000001</v>
      </c>
      <c r="BT26" s="1118">
        <v>296744</v>
      </c>
      <c r="BU26" s="1118">
        <v>299</v>
      </c>
      <c r="BV26" s="1286">
        <v>0</v>
      </c>
    </row>
    <row r="27" spans="1:74" s="730" customFormat="1" ht="9.9499999999999993" customHeight="1">
      <c r="A27" s="1972"/>
      <c r="B27" s="726" t="s">
        <v>2601</v>
      </c>
      <c r="C27" s="1124">
        <v>42914</v>
      </c>
      <c r="D27" s="766">
        <v>5406.7542020050005</v>
      </c>
      <c r="E27" s="1124">
        <v>12448</v>
      </c>
      <c r="F27" s="766">
        <v>63.776682000000008</v>
      </c>
      <c r="G27" s="1124">
        <v>55362</v>
      </c>
      <c r="H27" s="766">
        <v>5470.5308840050002</v>
      </c>
      <c r="I27" s="1124">
        <v>7843</v>
      </c>
      <c r="J27" s="766">
        <v>252.21503919600002</v>
      </c>
      <c r="K27" s="1124">
        <v>0</v>
      </c>
      <c r="L27" s="766">
        <v>0</v>
      </c>
      <c r="M27" s="1124">
        <v>0</v>
      </c>
      <c r="N27" s="766">
        <v>0</v>
      </c>
      <c r="O27" s="1124">
        <v>0</v>
      </c>
      <c r="P27" s="766">
        <v>0</v>
      </c>
      <c r="Q27" s="1124">
        <v>0</v>
      </c>
      <c r="R27" s="766">
        <v>0</v>
      </c>
      <c r="S27" s="1124">
        <v>0</v>
      </c>
      <c r="T27" s="766">
        <v>0</v>
      </c>
      <c r="U27" s="1124">
        <v>0</v>
      </c>
      <c r="V27" s="766">
        <v>0</v>
      </c>
      <c r="W27" s="1124">
        <v>0</v>
      </c>
      <c r="X27" s="766">
        <v>0</v>
      </c>
      <c r="Y27" s="766">
        <v>0</v>
      </c>
      <c r="Z27" s="1972"/>
      <c r="AA27" s="726" t="s">
        <v>2601</v>
      </c>
      <c r="AB27" s="765">
        <v>21368</v>
      </c>
      <c r="AC27" s="766">
        <v>18.412649999999999</v>
      </c>
      <c r="AD27" s="765">
        <v>0</v>
      </c>
      <c r="AE27" s="766">
        <v>0</v>
      </c>
      <c r="AF27" s="765">
        <v>1167</v>
      </c>
      <c r="AG27" s="766">
        <v>0.34379210900000001</v>
      </c>
      <c r="AH27" s="765">
        <v>0</v>
      </c>
      <c r="AI27" s="766">
        <v>0</v>
      </c>
      <c r="AJ27" s="765">
        <v>0</v>
      </c>
      <c r="AK27" s="766">
        <v>0</v>
      </c>
      <c r="AL27" s="765">
        <v>0</v>
      </c>
      <c r="AM27" s="766">
        <v>0</v>
      </c>
      <c r="AN27" s="765">
        <v>22535</v>
      </c>
      <c r="AO27" s="766">
        <v>18.756442109000002</v>
      </c>
      <c r="AP27" s="765">
        <v>0</v>
      </c>
      <c r="AQ27" s="766">
        <v>0</v>
      </c>
      <c r="AR27" s="765">
        <v>0</v>
      </c>
      <c r="AS27" s="766">
        <v>0</v>
      </c>
      <c r="AT27" s="765">
        <v>0</v>
      </c>
      <c r="AU27" s="766">
        <v>0</v>
      </c>
      <c r="AV27" s="765">
        <v>0</v>
      </c>
      <c r="AW27" s="766">
        <v>0</v>
      </c>
      <c r="AX27" s="1972"/>
      <c r="AY27" s="726" t="s">
        <v>2601</v>
      </c>
      <c r="AZ27" s="765">
        <v>0</v>
      </c>
      <c r="BA27" s="766">
        <v>0</v>
      </c>
      <c r="BB27" s="765">
        <v>0</v>
      </c>
      <c r="BC27" s="766">
        <v>0</v>
      </c>
      <c r="BD27" s="765">
        <v>22535</v>
      </c>
      <c r="BE27" s="766">
        <v>1</v>
      </c>
      <c r="BF27" s="765">
        <v>0</v>
      </c>
      <c r="BG27" s="765">
        <v>9968</v>
      </c>
      <c r="BH27" s="765">
        <v>0</v>
      </c>
      <c r="BI27" s="765">
        <v>9968</v>
      </c>
      <c r="BJ27" s="765">
        <v>0</v>
      </c>
      <c r="BK27" s="765">
        <v>0</v>
      </c>
      <c r="BL27" s="766">
        <v>0</v>
      </c>
      <c r="BM27" s="765">
        <v>0</v>
      </c>
      <c r="BN27" s="765">
        <v>0</v>
      </c>
      <c r="BO27" s="766">
        <v>0</v>
      </c>
      <c r="BP27" s="765">
        <v>0</v>
      </c>
      <c r="BQ27" s="765">
        <v>0</v>
      </c>
      <c r="BR27" s="765">
        <v>0</v>
      </c>
      <c r="BS27" s="766">
        <v>0</v>
      </c>
      <c r="BT27" s="765">
        <v>0</v>
      </c>
      <c r="BU27" s="765">
        <v>7</v>
      </c>
      <c r="BV27" s="773">
        <v>0</v>
      </c>
    </row>
    <row r="28" spans="1:74" s="730" customFormat="1" ht="9.9499999999999993" customHeight="1">
      <c r="A28" s="1972"/>
      <c r="B28" s="769" t="s">
        <v>1502</v>
      </c>
      <c r="C28" s="1123">
        <v>3948243</v>
      </c>
      <c r="D28" s="768">
        <v>401182.54477283102</v>
      </c>
      <c r="E28" s="1123">
        <v>3454</v>
      </c>
      <c r="F28" s="768">
        <v>630.66431311099996</v>
      </c>
      <c r="G28" s="1123">
        <v>3951697</v>
      </c>
      <c r="H28" s="768">
        <v>401813.20908594195</v>
      </c>
      <c r="I28" s="1123">
        <v>7925985</v>
      </c>
      <c r="J28" s="768">
        <v>67725.669417744022</v>
      </c>
      <c r="K28" s="1123">
        <v>826558</v>
      </c>
      <c r="L28" s="768">
        <v>661.65367121600002</v>
      </c>
      <c r="M28" s="1123">
        <v>3682</v>
      </c>
      <c r="N28" s="768">
        <v>7.4109458326500004</v>
      </c>
      <c r="O28" s="1123">
        <v>3847997</v>
      </c>
      <c r="P28" s="768">
        <v>2473.787336155</v>
      </c>
      <c r="Q28" s="1123">
        <v>195874</v>
      </c>
      <c r="R28" s="768">
        <v>153.47425669389997</v>
      </c>
      <c r="S28" s="1123">
        <v>1524912</v>
      </c>
      <c r="T28" s="768">
        <v>811.39350265199982</v>
      </c>
      <c r="U28" s="1123">
        <v>282934</v>
      </c>
      <c r="V28" s="768">
        <v>106.94254518690002</v>
      </c>
      <c r="W28" s="1123">
        <v>6681957</v>
      </c>
      <c r="X28" s="768">
        <v>4214.6622577364496</v>
      </c>
      <c r="Y28" s="768">
        <v>5442.3251166159998</v>
      </c>
      <c r="Z28" s="1972"/>
      <c r="AA28" s="769" t="s">
        <v>1502</v>
      </c>
      <c r="AB28" s="767">
        <v>60624040</v>
      </c>
      <c r="AC28" s="768">
        <v>52523.661567870011</v>
      </c>
      <c r="AD28" s="767">
        <v>2528</v>
      </c>
      <c r="AE28" s="768">
        <v>16.490691466800001</v>
      </c>
      <c r="AF28" s="767">
        <v>3446285</v>
      </c>
      <c r="AG28" s="768">
        <v>1341.5975633089997</v>
      </c>
      <c r="AH28" s="767">
        <v>23634</v>
      </c>
      <c r="AI28" s="768">
        <v>10.623792099999999</v>
      </c>
      <c r="AJ28" s="767">
        <v>3609618</v>
      </c>
      <c r="AK28" s="768">
        <v>862.86153032800007</v>
      </c>
      <c r="AL28" s="767">
        <v>62275</v>
      </c>
      <c r="AM28" s="768">
        <v>16.373230345</v>
      </c>
      <c r="AN28" s="767">
        <v>67768380</v>
      </c>
      <c r="AO28" s="768">
        <v>54771.608375418815</v>
      </c>
      <c r="AP28" s="767">
        <v>673414</v>
      </c>
      <c r="AQ28" s="768">
        <v>446.29288375299996</v>
      </c>
      <c r="AR28" s="767">
        <v>356778</v>
      </c>
      <c r="AS28" s="768">
        <v>63.167394653500011</v>
      </c>
      <c r="AT28" s="767">
        <v>203490</v>
      </c>
      <c r="AU28" s="768">
        <v>224.61659329999998</v>
      </c>
      <c r="AV28" s="767">
        <v>259211</v>
      </c>
      <c r="AW28" s="768">
        <v>194.5782000259</v>
      </c>
      <c r="AX28" s="1972"/>
      <c r="AY28" s="769" t="s">
        <v>1502</v>
      </c>
      <c r="AZ28" s="767">
        <v>124730</v>
      </c>
      <c r="BA28" s="768">
        <v>30.756578759</v>
      </c>
      <c r="BB28" s="767">
        <v>587431</v>
      </c>
      <c r="BC28" s="768">
        <v>449.95137208489996</v>
      </c>
      <c r="BD28" s="767">
        <v>76067960</v>
      </c>
      <c r="BE28" s="768">
        <v>59945.682283646674</v>
      </c>
      <c r="BF28" s="767">
        <v>1592889</v>
      </c>
      <c r="BG28" s="767">
        <v>21356384</v>
      </c>
      <c r="BH28" s="767">
        <v>663675</v>
      </c>
      <c r="BI28" s="767">
        <v>23612948</v>
      </c>
      <c r="BJ28" s="767">
        <v>3257495</v>
      </c>
      <c r="BK28" s="767">
        <v>5887150</v>
      </c>
      <c r="BL28" s="768">
        <v>14441.180965499003</v>
      </c>
      <c r="BM28" s="767">
        <v>927328</v>
      </c>
      <c r="BN28" s="767">
        <v>884405205</v>
      </c>
      <c r="BO28" s="768">
        <v>171567.13691753699</v>
      </c>
      <c r="BP28" s="767">
        <v>81342402</v>
      </c>
      <c r="BQ28" s="767">
        <v>11974</v>
      </c>
      <c r="BR28" s="767">
        <v>30292273</v>
      </c>
      <c r="BS28" s="768">
        <v>102365.38618387999</v>
      </c>
      <c r="BT28" s="767">
        <v>10725998</v>
      </c>
      <c r="BU28" s="767">
        <v>11775</v>
      </c>
      <c r="BV28" s="774">
        <v>79254</v>
      </c>
    </row>
    <row r="29" spans="1:74" s="730" customFormat="1" ht="9.9499999999999993" customHeight="1">
      <c r="A29" s="1972"/>
      <c r="B29" s="726" t="s">
        <v>1510</v>
      </c>
      <c r="C29" s="1124">
        <v>335967</v>
      </c>
      <c r="D29" s="766">
        <v>38338.325104285002</v>
      </c>
      <c r="E29" s="1124">
        <v>133</v>
      </c>
      <c r="F29" s="766">
        <v>0.59697440000000002</v>
      </c>
      <c r="G29" s="1124">
        <v>336100</v>
      </c>
      <c r="H29" s="766">
        <v>38338.922078684998</v>
      </c>
      <c r="I29" s="1124">
        <v>2040188</v>
      </c>
      <c r="J29" s="766">
        <v>20367.475895725998</v>
      </c>
      <c r="K29" s="1124">
        <v>57316</v>
      </c>
      <c r="L29" s="766">
        <v>82.857606068999999</v>
      </c>
      <c r="M29" s="1124">
        <v>133</v>
      </c>
      <c r="N29" s="766">
        <v>0.30611829700000004</v>
      </c>
      <c r="O29" s="1124">
        <v>803193</v>
      </c>
      <c r="P29" s="766">
        <v>372.89490059000002</v>
      </c>
      <c r="Q29" s="1124">
        <v>4392</v>
      </c>
      <c r="R29" s="766">
        <v>2.5752187449999999</v>
      </c>
      <c r="S29" s="1124">
        <v>377784</v>
      </c>
      <c r="T29" s="766">
        <v>160.63521985400001</v>
      </c>
      <c r="U29" s="1124">
        <v>19205</v>
      </c>
      <c r="V29" s="766">
        <v>4.9032812149999998</v>
      </c>
      <c r="W29" s="1124">
        <v>1262023</v>
      </c>
      <c r="X29" s="766">
        <v>624.17234477</v>
      </c>
      <c r="Y29" s="766">
        <v>801.21794315500006</v>
      </c>
      <c r="Z29" s="1972"/>
      <c r="AA29" s="726" t="s">
        <v>1510</v>
      </c>
      <c r="AB29" s="765">
        <v>2062057</v>
      </c>
      <c r="AC29" s="766">
        <v>2328.4820343179999</v>
      </c>
      <c r="AD29" s="765">
        <v>1159</v>
      </c>
      <c r="AE29" s="766">
        <v>3.1121512081000002</v>
      </c>
      <c r="AF29" s="765">
        <v>426273</v>
      </c>
      <c r="AG29" s="766">
        <v>147.88354411699999</v>
      </c>
      <c r="AH29" s="765">
        <v>2120</v>
      </c>
      <c r="AI29" s="766">
        <v>3.5999096110000002</v>
      </c>
      <c r="AJ29" s="765">
        <v>277201</v>
      </c>
      <c r="AK29" s="766">
        <v>87.157737400800002</v>
      </c>
      <c r="AL29" s="765">
        <v>5085</v>
      </c>
      <c r="AM29" s="766">
        <v>4.9407345712000001</v>
      </c>
      <c r="AN29" s="765">
        <v>2773895</v>
      </c>
      <c r="AO29" s="766">
        <v>2575.1761112260997</v>
      </c>
      <c r="AP29" s="765">
        <v>0</v>
      </c>
      <c r="AQ29" s="766">
        <v>0</v>
      </c>
      <c r="AR29" s="765">
        <v>11795</v>
      </c>
      <c r="AS29" s="766">
        <v>4.3352235800000001</v>
      </c>
      <c r="AT29" s="765">
        <v>26559</v>
      </c>
      <c r="AU29" s="766">
        <v>54.692840000000004</v>
      </c>
      <c r="AV29" s="765">
        <v>0</v>
      </c>
      <c r="AW29" s="766">
        <v>0</v>
      </c>
      <c r="AX29" s="1972"/>
      <c r="AY29" s="726" t="s">
        <v>1510</v>
      </c>
      <c r="AZ29" s="765">
        <v>0</v>
      </c>
      <c r="BA29" s="766">
        <v>0</v>
      </c>
      <c r="BB29" s="765">
        <v>26559</v>
      </c>
      <c r="BC29" s="766">
        <v>54.692840000000004</v>
      </c>
      <c r="BD29" s="765">
        <v>4074272</v>
      </c>
      <c r="BE29" s="766">
        <v>3258.3765195760998</v>
      </c>
      <c r="BF29" s="765">
        <v>133969</v>
      </c>
      <c r="BG29" s="765">
        <v>352401</v>
      </c>
      <c r="BH29" s="765">
        <v>123196</v>
      </c>
      <c r="BI29" s="765">
        <v>609566</v>
      </c>
      <c r="BJ29" s="765">
        <v>214577</v>
      </c>
      <c r="BK29" s="765">
        <v>1368330</v>
      </c>
      <c r="BL29" s="766">
        <v>12950.537518255</v>
      </c>
      <c r="BM29" s="765">
        <v>0</v>
      </c>
      <c r="BN29" s="765">
        <v>0</v>
      </c>
      <c r="BO29" s="766">
        <v>0</v>
      </c>
      <c r="BP29" s="765">
        <v>0</v>
      </c>
      <c r="BQ29" s="765">
        <v>0</v>
      </c>
      <c r="BR29" s="765">
        <v>0</v>
      </c>
      <c r="BS29" s="766">
        <v>0</v>
      </c>
      <c r="BT29" s="765">
        <v>0</v>
      </c>
      <c r="BU29" s="765">
        <v>144</v>
      </c>
      <c r="BV29" s="773">
        <v>0</v>
      </c>
    </row>
    <row r="30" spans="1:74" s="730" customFormat="1" ht="9.9499999999999993" customHeight="1">
      <c r="A30" s="1947"/>
      <c r="B30" s="1282" t="s">
        <v>659</v>
      </c>
      <c r="C30" s="1501">
        <v>5467865</v>
      </c>
      <c r="D30" s="1121">
        <v>602739.24134260206</v>
      </c>
      <c r="E30" s="1501">
        <v>150594.35</v>
      </c>
      <c r="F30" s="1121">
        <v>2312.8010497299997</v>
      </c>
      <c r="G30" s="1501">
        <v>5618459.3499999996</v>
      </c>
      <c r="H30" s="1121">
        <v>605052.04239233199</v>
      </c>
      <c r="I30" s="1501">
        <v>10433749</v>
      </c>
      <c r="J30" s="1121">
        <v>93079.309515301022</v>
      </c>
      <c r="K30" s="1501">
        <v>900116</v>
      </c>
      <c r="L30" s="1121">
        <v>760.68316597499995</v>
      </c>
      <c r="M30" s="1501">
        <v>3815</v>
      </c>
      <c r="N30" s="1121">
        <v>7.7170641296500007</v>
      </c>
      <c r="O30" s="1501">
        <v>4668568</v>
      </c>
      <c r="P30" s="1121">
        <v>2856.4798359910001</v>
      </c>
      <c r="Q30" s="1501">
        <v>200391</v>
      </c>
      <c r="R30" s="1121">
        <v>156.15384661689998</v>
      </c>
      <c r="S30" s="1501">
        <v>1913473</v>
      </c>
      <c r="T30" s="1121">
        <v>979.02109486599988</v>
      </c>
      <c r="U30" s="1501">
        <v>302139</v>
      </c>
      <c r="V30" s="1121">
        <v>111.84582640190001</v>
      </c>
      <c r="W30" s="1501">
        <v>7988502</v>
      </c>
      <c r="X30" s="1121">
        <v>4871.9008339804495</v>
      </c>
      <c r="Y30" s="1121">
        <v>6274.65618765</v>
      </c>
      <c r="Z30" s="1947"/>
      <c r="AA30" s="1282" t="s">
        <v>659</v>
      </c>
      <c r="AB30" s="1120">
        <v>64483531</v>
      </c>
      <c r="AC30" s="1121">
        <v>56351.675263288009</v>
      </c>
      <c r="AD30" s="1120">
        <v>3687</v>
      </c>
      <c r="AE30" s="1121">
        <v>19.602842674900003</v>
      </c>
      <c r="AF30" s="1120">
        <v>4084608</v>
      </c>
      <c r="AG30" s="1121">
        <v>1543.2950779039998</v>
      </c>
      <c r="AH30" s="1120">
        <v>25754</v>
      </c>
      <c r="AI30" s="1121">
        <v>14.223701711</v>
      </c>
      <c r="AJ30" s="1120">
        <v>4039469</v>
      </c>
      <c r="AK30" s="1121">
        <v>983.95292462880002</v>
      </c>
      <c r="AL30" s="1120">
        <v>67360</v>
      </c>
      <c r="AM30" s="1121">
        <v>21.3139649162</v>
      </c>
      <c r="AN30" s="1120">
        <v>72704409</v>
      </c>
      <c r="AO30" s="1121">
        <v>58934.063775122915</v>
      </c>
      <c r="AP30" s="1120">
        <v>680540</v>
      </c>
      <c r="AQ30" s="1121">
        <v>454.24351507799997</v>
      </c>
      <c r="AR30" s="1120">
        <v>368573</v>
      </c>
      <c r="AS30" s="1121">
        <v>67.502618233500016</v>
      </c>
      <c r="AT30" s="1120">
        <v>230049</v>
      </c>
      <c r="AU30" s="1121">
        <v>279.30943329999997</v>
      </c>
      <c r="AV30" s="1120">
        <v>259211</v>
      </c>
      <c r="AW30" s="1121">
        <v>194.5782000259</v>
      </c>
      <c r="AX30" s="1947"/>
      <c r="AY30" s="1282" t="s">
        <v>659</v>
      </c>
      <c r="AZ30" s="1120">
        <v>124730</v>
      </c>
      <c r="BA30" s="1121">
        <v>30.756578759</v>
      </c>
      <c r="BB30" s="1120">
        <v>613990</v>
      </c>
      <c r="BC30" s="1121">
        <v>504.64421208489995</v>
      </c>
      <c r="BD30" s="1120">
        <v>82356014</v>
      </c>
      <c r="BE30" s="1121">
        <v>64814.598512390774</v>
      </c>
      <c r="BF30" s="1120">
        <v>1737134</v>
      </c>
      <c r="BG30" s="1120">
        <v>22449847</v>
      </c>
      <c r="BH30" s="1120">
        <v>811757</v>
      </c>
      <c r="BI30" s="1120">
        <v>24998738</v>
      </c>
      <c r="BJ30" s="1120">
        <v>3472072</v>
      </c>
      <c r="BK30" s="1120">
        <v>7255480</v>
      </c>
      <c r="BL30" s="1121">
        <v>27391.718483754004</v>
      </c>
      <c r="BM30" s="1120">
        <v>1069257</v>
      </c>
      <c r="BN30" s="1120">
        <v>886166454</v>
      </c>
      <c r="BO30" s="1121">
        <v>171986.59904373699</v>
      </c>
      <c r="BP30" s="1120">
        <v>102796174</v>
      </c>
      <c r="BQ30" s="1120">
        <v>12370</v>
      </c>
      <c r="BR30" s="1120">
        <v>30926136</v>
      </c>
      <c r="BS30" s="1121">
        <v>103691.72236507999</v>
      </c>
      <c r="BT30" s="1120">
        <v>11022742</v>
      </c>
      <c r="BU30" s="1120">
        <v>12225</v>
      </c>
      <c r="BV30" s="1517">
        <v>79254</v>
      </c>
    </row>
    <row r="31" spans="1:74" s="729" customFormat="1" ht="9.9499999999999993" customHeight="1">
      <c r="A31" s="1970" t="s">
        <v>747</v>
      </c>
      <c r="B31" s="727" t="s">
        <v>2600</v>
      </c>
      <c r="C31" s="1147">
        <v>360639</v>
      </c>
      <c r="D31" s="1149">
        <v>51014.96884890199</v>
      </c>
      <c r="E31" s="1147">
        <v>44147.35</v>
      </c>
      <c r="F31" s="1149">
        <v>549.99699800100007</v>
      </c>
      <c r="G31" s="1147">
        <v>404786.35</v>
      </c>
      <c r="H31" s="1149">
        <v>51564.965846902989</v>
      </c>
      <c r="I31" s="1147">
        <v>153651</v>
      </c>
      <c r="J31" s="1149">
        <v>2004.0037738389997</v>
      </c>
      <c r="K31" s="1147">
        <v>5086</v>
      </c>
      <c r="L31" s="1149">
        <v>5.1456997900000001</v>
      </c>
      <c r="M31" s="1147">
        <v>0</v>
      </c>
      <c r="N31" s="1149">
        <v>0</v>
      </c>
      <c r="O31" s="1147">
        <v>4873</v>
      </c>
      <c r="P31" s="1149">
        <v>2.8367139379999999</v>
      </c>
      <c r="Q31" s="1147">
        <v>24</v>
      </c>
      <c r="R31" s="1149">
        <v>3.7932978000000006E-2</v>
      </c>
      <c r="S31" s="1147">
        <v>3450</v>
      </c>
      <c r="T31" s="1149">
        <v>2.18053126</v>
      </c>
      <c r="U31" s="1147">
        <v>0</v>
      </c>
      <c r="V31" s="1149">
        <v>0</v>
      </c>
      <c r="W31" s="1147">
        <v>13433</v>
      </c>
      <c r="X31" s="1149">
        <v>10.200877966</v>
      </c>
      <c r="Y31" s="1149">
        <v>47.432840169000002</v>
      </c>
      <c r="Z31" s="1970" t="s">
        <v>747</v>
      </c>
      <c r="AA31" s="727" t="s">
        <v>2600</v>
      </c>
      <c r="AB31" s="765">
        <v>513343</v>
      </c>
      <c r="AC31" s="766">
        <v>473.34107950000003</v>
      </c>
      <c r="AD31" s="765">
        <v>0</v>
      </c>
      <c r="AE31" s="766">
        <v>0</v>
      </c>
      <c r="AF31" s="765">
        <v>66898</v>
      </c>
      <c r="AG31" s="766">
        <v>17.133621828999999</v>
      </c>
      <c r="AH31" s="765">
        <v>0</v>
      </c>
      <c r="AI31" s="766">
        <v>0</v>
      </c>
      <c r="AJ31" s="765">
        <v>47785</v>
      </c>
      <c r="AK31" s="766">
        <v>10.639188799999999</v>
      </c>
      <c r="AL31" s="765">
        <v>0</v>
      </c>
      <c r="AM31" s="766">
        <v>0</v>
      </c>
      <c r="AN31" s="765">
        <v>628026</v>
      </c>
      <c r="AO31" s="766">
        <v>501.11389012900003</v>
      </c>
      <c r="AP31" s="765">
        <v>2146</v>
      </c>
      <c r="AQ31" s="766">
        <v>2.3573442559999997</v>
      </c>
      <c r="AR31" s="765">
        <v>0</v>
      </c>
      <c r="AS31" s="766">
        <v>0</v>
      </c>
      <c r="AT31" s="765">
        <v>0</v>
      </c>
      <c r="AU31" s="766">
        <v>0</v>
      </c>
      <c r="AV31" s="765">
        <v>0</v>
      </c>
      <c r="AW31" s="766">
        <v>0</v>
      </c>
      <c r="AX31" s="1970" t="s">
        <v>747</v>
      </c>
      <c r="AY31" s="727" t="s">
        <v>2600</v>
      </c>
      <c r="AZ31" s="729">
        <v>0</v>
      </c>
      <c r="BA31" s="1149">
        <v>0</v>
      </c>
      <c r="BB31" s="729">
        <v>0</v>
      </c>
      <c r="BC31" s="1149">
        <v>0</v>
      </c>
      <c r="BD31" s="729">
        <v>643605</v>
      </c>
      <c r="BE31" s="1149">
        <v>513.67211235100001</v>
      </c>
      <c r="BF31" s="729">
        <v>10164</v>
      </c>
      <c r="BG31" s="729">
        <v>687291</v>
      </c>
      <c r="BH31" s="729">
        <v>24860</v>
      </c>
      <c r="BI31" s="729">
        <v>722315</v>
      </c>
      <c r="BJ31" s="729">
        <v>0</v>
      </c>
      <c r="BK31" s="729">
        <v>0</v>
      </c>
      <c r="BL31" s="1149">
        <v>0</v>
      </c>
      <c r="BM31" s="729">
        <v>141872</v>
      </c>
      <c r="BN31" s="729">
        <v>497008</v>
      </c>
      <c r="BO31" s="1149">
        <v>139.0432069</v>
      </c>
      <c r="BP31" s="729">
        <v>21427763</v>
      </c>
      <c r="BQ31" s="729">
        <v>245</v>
      </c>
      <c r="BR31" s="729">
        <v>188356</v>
      </c>
      <c r="BS31" s="1149">
        <v>407.63049749999999</v>
      </c>
      <c r="BT31" s="729">
        <v>285418</v>
      </c>
      <c r="BU31" s="729">
        <v>296</v>
      </c>
      <c r="BV31" s="1148">
        <v>0</v>
      </c>
    </row>
    <row r="32" spans="1:74" s="213" customFormat="1" ht="9.9499999999999993" customHeight="1">
      <c r="A32" s="1972"/>
      <c r="B32" s="1502" t="s">
        <v>2601</v>
      </c>
      <c r="C32" s="1150">
        <v>13281</v>
      </c>
      <c r="D32" s="1151">
        <v>1649.196544572</v>
      </c>
      <c r="E32" s="1150">
        <v>4186</v>
      </c>
      <c r="F32" s="1151">
        <v>21.750106000000002</v>
      </c>
      <c r="G32" s="1150">
        <v>17467</v>
      </c>
      <c r="H32" s="1151">
        <v>1670.946650572</v>
      </c>
      <c r="I32" s="1150">
        <v>2303</v>
      </c>
      <c r="J32" s="1151">
        <v>68.398029399999999</v>
      </c>
      <c r="K32" s="1150">
        <v>0</v>
      </c>
      <c r="L32" s="1151">
        <v>0</v>
      </c>
      <c r="M32" s="1150">
        <v>0</v>
      </c>
      <c r="N32" s="1151">
        <v>0</v>
      </c>
      <c r="O32" s="1150">
        <v>0</v>
      </c>
      <c r="P32" s="1151">
        <v>0</v>
      </c>
      <c r="Q32" s="1150">
        <v>0</v>
      </c>
      <c r="R32" s="1151">
        <v>0</v>
      </c>
      <c r="S32" s="1150">
        <v>0</v>
      </c>
      <c r="T32" s="1151">
        <v>0</v>
      </c>
      <c r="U32" s="1150">
        <v>0</v>
      </c>
      <c r="V32" s="1151">
        <v>0</v>
      </c>
      <c r="W32" s="1150">
        <v>0</v>
      </c>
      <c r="X32" s="1151">
        <v>0</v>
      </c>
      <c r="Y32" s="1151">
        <v>0</v>
      </c>
      <c r="Z32" s="1972"/>
      <c r="AA32" s="1502" t="s">
        <v>2601</v>
      </c>
      <c r="AB32" s="767">
        <v>6890</v>
      </c>
      <c r="AC32" s="768">
        <v>6.0742500000000001</v>
      </c>
      <c r="AD32" s="767">
        <v>0</v>
      </c>
      <c r="AE32" s="768">
        <v>0</v>
      </c>
      <c r="AF32" s="767">
        <v>368</v>
      </c>
      <c r="AG32" s="768">
        <v>0.10029595899999999</v>
      </c>
      <c r="AH32" s="767">
        <v>0</v>
      </c>
      <c r="AI32" s="768">
        <v>0</v>
      </c>
      <c r="AJ32" s="767">
        <v>0</v>
      </c>
      <c r="AK32" s="768">
        <v>0</v>
      </c>
      <c r="AL32" s="767">
        <v>0</v>
      </c>
      <c r="AM32" s="768">
        <v>0</v>
      </c>
      <c r="AN32" s="767">
        <v>7258</v>
      </c>
      <c r="AO32" s="768">
        <v>6.1745459590000005</v>
      </c>
      <c r="AP32" s="767">
        <v>0</v>
      </c>
      <c r="AQ32" s="768">
        <v>0</v>
      </c>
      <c r="AR32" s="767">
        <v>0</v>
      </c>
      <c r="AS32" s="768">
        <v>0</v>
      </c>
      <c r="AT32" s="767">
        <v>0</v>
      </c>
      <c r="AU32" s="768">
        <v>0</v>
      </c>
      <c r="AV32" s="767">
        <v>0</v>
      </c>
      <c r="AW32" s="768">
        <v>0</v>
      </c>
      <c r="AX32" s="1972"/>
      <c r="AY32" s="1502" t="s">
        <v>2601</v>
      </c>
      <c r="AZ32" s="1152">
        <v>0</v>
      </c>
      <c r="BA32" s="1151">
        <v>0</v>
      </c>
      <c r="BB32" s="1152">
        <v>0</v>
      </c>
      <c r="BC32" s="1151">
        <v>0</v>
      </c>
      <c r="BD32" s="1152">
        <v>7258</v>
      </c>
      <c r="BE32" s="1151">
        <v>6.1745459590000005</v>
      </c>
      <c r="BF32" s="1152">
        <v>0</v>
      </c>
      <c r="BG32" s="1152">
        <v>9535</v>
      </c>
      <c r="BH32" s="1152">
        <v>0</v>
      </c>
      <c r="BI32" s="1152">
        <v>9535</v>
      </c>
      <c r="BJ32" s="1152">
        <v>0</v>
      </c>
      <c r="BK32" s="1152">
        <v>0</v>
      </c>
      <c r="BL32" s="1151">
        <v>0</v>
      </c>
      <c r="BM32" s="1152">
        <v>0</v>
      </c>
      <c r="BN32" s="1152">
        <v>0</v>
      </c>
      <c r="BO32" s="1151">
        <v>0</v>
      </c>
      <c r="BP32" s="1152">
        <v>0</v>
      </c>
      <c r="BQ32" s="1152">
        <v>0</v>
      </c>
      <c r="BR32" s="1152">
        <v>0</v>
      </c>
      <c r="BS32" s="1151">
        <v>0</v>
      </c>
      <c r="BT32" s="1152">
        <v>0</v>
      </c>
      <c r="BU32" s="1152">
        <v>7</v>
      </c>
      <c r="BV32" s="1153">
        <v>0</v>
      </c>
    </row>
    <row r="33" spans="1:74" s="729" customFormat="1" ht="9.9499999999999993" customHeight="1">
      <c r="A33" s="1972"/>
      <c r="B33" s="727" t="s">
        <v>1502</v>
      </c>
      <c r="C33" s="1147">
        <v>1216955</v>
      </c>
      <c r="D33" s="1149">
        <v>125918.40463408704</v>
      </c>
      <c r="E33" s="1147">
        <v>1021</v>
      </c>
      <c r="F33" s="1149">
        <v>177.206685182</v>
      </c>
      <c r="G33" s="1147">
        <v>1217976</v>
      </c>
      <c r="H33" s="1149">
        <v>126095.61131926904</v>
      </c>
      <c r="I33" s="1147">
        <v>2233934</v>
      </c>
      <c r="J33" s="1149">
        <v>20351.36358840801</v>
      </c>
      <c r="K33" s="1147">
        <v>255262</v>
      </c>
      <c r="L33" s="1149">
        <v>201.03793244599999</v>
      </c>
      <c r="M33" s="1147">
        <v>1116</v>
      </c>
      <c r="N33" s="1149">
        <v>2.1611717802500001</v>
      </c>
      <c r="O33" s="1147">
        <v>1203683</v>
      </c>
      <c r="P33" s="1149">
        <v>771.14659060999986</v>
      </c>
      <c r="Q33" s="1147">
        <v>59576</v>
      </c>
      <c r="R33" s="1149">
        <v>46.666099854399995</v>
      </c>
      <c r="S33" s="1147">
        <v>471368</v>
      </c>
      <c r="T33" s="1149">
        <v>252.390920819</v>
      </c>
      <c r="U33" s="1147">
        <v>87551</v>
      </c>
      <c r="V33" s="1149">
        <v>31.508437684800004</v>
      </c>
      <c r="W33" s="1147">
        <v>2078556</v>
      </c>
      <c r="X33" s="1149">
        <v>1304.9111531944498</v>
      </c>
      <c r="Y33" s="1149">
        <v>5342.8999611499994</v>
      </c>
      <c r="Z33" s="1972"/>
      <c r="AA33" s="727" t="s">
        <v>1502</v>
      </c>
      <c r="AB33" s="765">
        <v>19053437</v>
      </c>
      <c r="AC33" s="766">
        <v>16074.085709410005</v>
      </c>
      <c r="AD33" s="765">
        <v>730</v>
      </c>
      <c r="AE33" s="766">
        <v>1.3349873887999999</v>
      </c>
      <c r="AF33" s="765">
        <v>1080416</v>
      </c>
      <c r="AG33" s="766">
        <v>421.92378563599993</v>
      </c>
      <c r="AH33" s="765">
        <v>7281</v>
      </c>
      <c r="AI33" s="766">
        <v>3.2341079329999998</v>
      </c>
      <c r="AJ33" s="765">
        <v>1081395</v>
      </c>
      <c r="AK33" s="766">
        <v>260.23094817800001</v>
      </c>
      <c r="AL33" s="765">
        <v>19385</v>
      </c>
      <c r="AM33" s="766">
        <v>4.4459162239999994</v>
      </c>
      <c r="AN33" s="765">
        <v>21242644</v>
      </c>
      <c r="AO33" s="766">
        <v>16765.255454769802</v>
      </c>
      <c r="AP33" s="765">
        <v>211726</v>
      </c>
      <c r="AQ33" s="766">
        <v>143.197157092</v>
      </c>
      <c r="AR33" s="765">
        <v>110559</v>
      </c>
      <c r="AS33" s="766">
        <v>18.751391626949999</v>
      </c>
      <c r="AT33" s="765">
        <v>62984</v>
      </c>
      <c r="AU33" s="766">
        <v>65.601483299999984</v>
      </c>
      <c r="AV33" s="765">
        <v>82084</v>
      </c>
      <c r="AW33" s="766">
        <v>63.551224380000008</v>
      </c>
      <c r="AX33" s="1972"/>
      <c r="AY33" s="727" t="s">
        <v>1502</v>
      </c>
      <c r="AZ33" s="729">
        <v>39348</v>
      </c>
      <c r="BA33" s="1149">
        <v>9.5667757600000005</v>
      </c>
      <c r="BB33" s="729">
        <v>184416</v>
      </c>
      <c r="BC33" s="1149">
        <v>138.71948344</v>
      </c>
      <c r="BD33" s="729">
        <v>23827901</v>
      </c>
      <c r="BE33" s="1149">
        <v>18370.834640123201</v>
      </c>
      <c r="BF33" s="729">
        <v>1569548</v>
      </c>
      <c r="BG33" s="729">
        <v>21010797</v>
      </c>
      <c r="BH33" s="729">
        <v>613814</v>
      </c>
      <c r="BI33" s="729">
        <v>23194159</v>
      </c>
      <c r="BJ33" s="729">
        <v>3170369</v>
      </c>
      <c r="BK33" s="729">
        <v>1840806</v>
      </c>
      <c r="BL33" s="1149">
        <v>4464.2133632839996</v>
      </c>
      <c r="BM33" s="729">
        <v>912909</v>
      </c>
      <c r="BN33" s="729">
        <v>279166329</v>
      </c>
      <c r="BO33" s="1149">
        <v>54916.053474011998</v>
      </c>
      <c r="BP33" s="729">
        <v>80941488</v>
      </c>
      <c r="BQ33" s="729">
        <v>11878</v>
      </c>
      <c r="BR33" s="729">
        <v>8875844</v>
      </c>
      <c r="BS33" s="1149">
        <v>30977.617212836998</v>
      </c>
      <c r="BT33" s="729">
        <v>10239369</v>
      </c>
      <c r="BU33" s="729">
        <v>11663</v>
      </c>
      <c r="BV33" s="1148">
        <v>77806</v>
      </c>
    </row>
    <row r="34" spans="1:74" s="729" customFormat="1" ht="9.9499999999999993" customHeight="1">
      <c r="A34" s="1972"/>
      <c r="B34" s="728" t="s">
        <v>1510</v>
      </c>
      <c r="C34" s="1150">
        <v>104900</v>
      </c>
      <c r="D34" s="1151">
        <v>11318.236595576001</v>
      </c>
      <c r="E34" s="1150">
        <v>42</v>
      </c>
      <c r="F34" s="1151">
        <v>0.12381440000000001</v>
      </c>
      <c r="G34" s="1150">
        <v>104942</v>
      </c>
      <c r="H34" s="1151">
        <v>11318.360409976001</v>
      </c>
      <c r="I34" s="1150">
        <v>610279</v>
      </c>
      <c r="J34" s="1151">
        <v>6221.1239472919988</v>
      </c>
      <c r="K34" s="1150">
        <v>18713</v>
      </c>
      <c r="L34" s="1151">
        <v>26.680239157999999</v>
      </c>
      <c r="M34" s="1150">
        <v>47</v>
      </c>
      <c r="N34" s="1151">
        <v>0.12332006</v>
      </c>
      <c r="O34" s="1150">
        <v>255378</v>
      </c>
      <c r="P34" s="1151">
        <v>118.32983318300001</v>
      </c>
      <c r="Q34" s="1150">
        <v>1508</v>
      </c>
      <c r="R34" s="1151">
        <v>0.81890175200000004</v>
      </c>
      <c r="S34" s="1150">
        <v>110788</v>
      </c>
      <c r="T34" s="1151">
        <v>46.800549064999998</v>
      </c>
      <c r="U34" s="1150">
        <v>5659</v>
      </c>
      <c r="V34" s="1151">
        <v>1.449133915</v>
      </c>
      <c r="W34" s="1150">
        <v>392093</v>
      </c>
      <c r="X34" s="1151">
        <v>194.20197713300001</v>
      </c>
      <c r="Y34" s="1151">
        <v>783.69719162699994</v>
      </c>
      <c r="Z34" s="1972"/>
      <c r="AA34" s="728" t="s">
        <v>1510</v>
      </c>
      <c r="AB34" s="767">
        <v>640227</v>
      </c>
      <c r="AC34" s="768">
        <v>717.85325924699998</v>
      </c>
      <c r="AD34" s="767">
        <v>366</v>
      </c>
      <c r="AE34" s="768">
        <v>1.0407568980999999</v>
      </c>
      <c r="AF34" s="767">
        <v>123913</v>
      </c>
      <c r="AG34" s="768">
        <v>42.968290549999992</v>
      </c>
      <c r="AH34" s="767">
        <v>232</v>
      </c>
      <c r="AI34" s="768">
        <v>0.9396911670000001</v>
      </c>
      <c r="AJ34" s="767">
        <v>85848</v>
      </c>
      <c r="AK34" s="768">
        <v>26.588020826799998</v>
      </c>
      <c r="AL34" s="767">
        <v>1647</v>
      </c>
      <c r="AM34" s="768">
        <v>1.5523487802</v>
      </c>
      <c r="AN34" s="767">
        <v>852233</v>
      </c>
      <c r="AO34" s="768">
        <v>790.94236746909985</v>
      </c>
      <c r="AP34" s="767">
        <v>0</v>
      </c>
      <c r="AQ34" s="768">
        <v>0</v>
      </c>
      <c r="AR34" s="767">
        <v>3251</v>
      </c>
      <c r="AS34" s="768">
        <v>1.175169997</v>
      </c>
      <c r="AT34" s="767">
        <v>8272</v>
      </c>
      <c r="AU34" s="768">
        <v>17.18253</v>
      </c>
      <c r="AV34" s="767">
        <v>0</v>
      </c>
      <c r="AW34" s="768">
        <v>0</v>
      </c>
      <c r="AX34" s="1972"/>
      <c r="AY34" s="728" t="s">
        <v>1510</v>
      </c>
      <c r="AZ34" s="1152">
        <v>0</v>
      </c>
      <c r="BA34" s="1151">
        <v>0</v>
      </c>
      <c r="BB34" s="1152">
        <v>8272</v>
      </c>
      <c r="BC34" s="1151">
        <v>17.18253</v>
      </c>
      <c r="BD34" s="1152">
        <v>1255849</v>
      </c>
      <c r="BE34" s="1151">
        <v>1003.5020445990999</v>
      </c>
      <c r="BF34" s="1152">
        <v>134192</v>
      </c>
      <c r="BG34" s="1152">
        <v>348131</v>
      </c>
      <c r="BH34" s="1152">
        <v>122019</v>
      </c>
      <c r="BI34" s="1152">
        <v>604342</v>
      </c>
      <c r="BJ34" s="1152">
        <v>212078</v>
      </c>
      <c r="BK34" s="1152">
        <v>439534</v>
      </c>
      <c r="BL34" s="1151">
        <v>4013.0853633649999</v>
      </c>
      <c r="BM34" s="1152">
        <v>0</v>
      </c>
      <c r="BN34" s="1152">
        <v>0</v>
      </c>
      <c r="BO34" s="1151">
        <v>0</v>
      </c>
      <c r="BP34" s="1152">
        <v>0</v>
      </c>
      <c r="BQ34" s="1152">
        <v>0</v>
      </c>
      <c r="BR34" s="1152">
        <v>0</v>
      </c>
      <c r="BS34" s="1151">
        <v>0</v>
      </c>
      <c r="BT34" s="1152">
        <v>0</v>
      </c>
      <c r="BU34" s="1152">
        <v>145</v>
      </c>
      <c r="BV34" s="1153">
        <v>0</v>
      </c>
    </row>
    <row r="35" spans="1:74" s="730" customFormat="1" ht="9.9499999999999993" customHeight="1">
      <c r="A35" s="1947"/>
      <c r="B35" s="1503" t="s">
        <v>659</v>
      </c>
      <c r="C35" s="1504">
        <v>1695775</v>
      </c>
      <c r="D35" s="1505">
        <v>189900.80662313703</v>
      </c>
      <c r="E35" s="1504">
        <v>49396.35</v>
      </c>
      <c r="F35" s="1505">
        <v>749.07760358300004</v>
      </c>
      <c r="G35" s="1504">
        <v>1745171.35</v>
      </c>
      <c r="H35" s="1505">
        <v>190649.88422672002</v>
      </c>
      <c r="I35" s="1504">
        <v>3000167</v>
      </c>
      <c r="J35" s="1505">
        <v>28644.889338939007</v>
      </c>
      <c r="K35" s="1504">
        <v>279061</v>
      </c>
      <c r="L35" s="1505">
        <v>232.863871394</v>
      </c>
      <c r="M35" s="1504">
        <v>1163</v>
      </c>
      <c r="N35" s="1505">
        <v>2.2844918402500003</v>
      </c>
      <c r="O35" s="1504">
        <v>1463934</v>
      </c>
      <c r="P35" s="1505">
        <v>892.31313773099987</v>
      </c>
      <c r="Q35" s="1504">
        <v>61108</v>
      </c>
      <c r="R35" s="1505">
        <v>47.522934584399998</v>
      </c>
      <c r="S35" s="1504">
        <v>585606</v>
      </c>
      <c r="T35" s="1505">
        <v>301.37200114400002</v>
      </c>
      <c r="U35" s="1504">
        <v>93210</v>
      </c>
      <c r="V35" s="1505">
        <v>32.957571599800005</v>
      </c>
      <c r="W35" s="1504">
        <v>2484082</v>
      </c>
      <c r="X35" s="1505">
        <v>1509.3140082934499</v>
      </c>
      <c r="Y35" s="1505">
        <v>6174.0299929459998</v>
      </c>
      <c r="Z35" s="1947"/>
      <c r="AA35" s="1503" t="s">
        <v>659</v>
      </c>
      <c r="AB35" s="1004">
        <v>20213897</v>
      </c>
      <c r="AC35" s="1005">
        <v>17271.354298157006</v>
      </c>
      <c r="AD35" s="1004">
        <v>1096</v>
      </c>
      <c r="AE35" s="1005">
        <v>2.3757442868999998</v>
      </c>
      <c r="AF35" s="1004">
        <v>1271595</v>
      </c>
      <c r="AG35" s="1005">
        <v>482.12599397399993</v>
      </c>
      <c r="AH35" s="1004">
        <v>7513</v>
      </c>
      <c r="AI35" s="1005">
        <v>4.1737991000000001</v>
      </c>
      <c r="AJ35" s="1004">
        <v>1215028</v>
      </c>
      <c r="AK35" s="1005">
        <v>297.45815780480001</v>
      </c>
      <c r="AL35" s="1004">
        <v>21032</v>
      </c>
      <c r="AM35" s="1005">
        <v>5.9982650041999994</v>
      </c>
      <c r="AN35" s="1004">
        <v>22730161</v>
      </c>
      <c r="AO35" s="1005">
        <v>18063.486258326906</v>
      </c>
      <c r="AP35" s="1004">
        <v>213872</v>
      </c>
      <c r="AQ35" s="1005">
        <v>145.554501348</v>
      </c>
      <c r="AR35" s="1004">
        <v>113810</v>
      </c>
      <c r="AS35" s="1005">
        <v>19.926561623950001</v>
      </c>
      <c r="AT35" s="1004">
        <v>71256</v>
      </c>
      <c r="AU35" s="1005">
        <v>82.784013299999984</v>
      </c>
      <c r="AV35" s="1004">
        <v>82084</v>
      </c>
      <c r="AW35" s="1429">
        <v>63.551224380000008</v>
      </c>
      <c r="AX35" s="1947"/>
      <c r="AY35" s="1503" t="s">
        <v>659</v>
      </c>
      <c r="AZ35" s="730">
        <v>39348</v>
      </c>
      <c r="BA35" s="1505">
        <v>9.5667757600000005</v>
      </c>
      <c r="BB35" s="730">
        <v>192688</v>
      </c>
      <c r="BC35" s="1505">
        <v>155.90201343999999</v>
      </c>
      <c r="BD35" s="730">
        <v>25734613</v>
      </c>
      <c r="BE35" s="1505">
        <v>19894.183343032309</v>
      </c>
      <c r="BF35" s="730">
        <v>1713904</v>
      </c>
      <c r="BG35" s="730">
        <v>22055754</v>
      </c>
      <c r="BH35" s="730">
        <v>760693</v>
      </c>
      <c r="BI35" s="730">
        <v>24530351</v>
      </c>
      <c r="BJ35" s="730">
        <v>3382447</v>
      </c>
      <c r="BK35" s="730">
        <v>2280340</v>
      </c>
      <c r="BL35" s="1505">
        <v>8477.2987266489999</v>
      </c>
      <c r="BM35" s="730">
        <v>1054781</v>
      </c>
      <c r="BN35" s="730">
        <v>279663337</v>
      </c>
      <c r="BO35" s="1505">
        <v>55055.096680912</v>
      </c>
      <c r="BP35" s="730">
        <v>102369251</v>
      </c>
      <c r="BQ35" s="730">
        <v>12123</v>
      </c>
      <c r="BR35" s="730">
        <v>9064200</v>
      </c>
      <c r="BS35" s="1505">
        <v>31385.247710336997</v>
      </c>
      <c r="BT35" s="730">
        <v>10524787</v>
      </c>
      <c r="BU35" s="730">
        <v>12111</v>
      </c>
      <c r="BV35" s="1515">
        <v>77806</v>
      </c>
    </row>
    <row r="36" spans="1:74" s="730" customFormat="1" ht="9.9499999999999993" customHeight="1">
      <c r="A36" s="1889" t="s">
        <v>739</v>
      </c>
      <c r="B36" s="1006" t="s">
        <v>2600</v>
      </c>
      <c r="C36" s="1336">
        <v>387217</v>
      </c>
      <c r="D36" s="1119">
        <v>55072.992845215005</v>
      </c>
      <c r="E36" s="1336">
        <v>40755</v>
      </c>
      <c r="F36" s="1119">
        <v>486.88127545299994</v>
      </c>
      <c r="G36" s="1336">
        <v>427972</v>
      </c>
      <c r="H36" s="1119">
        <v>55559.874120668006</v>
      </c>
      <c r="I36" s="1118">
        <v>141115</v>
      </c>
      <c r="J36" s="1119">
        <v>1529.3364074149999</v>
      </c>
      <c r="K36" s="1118">
        <v>5635</v>
      </c>
      <c r="L36" s="1119">
        <v>5.6450046999999994</v>
      </c>
      <c r="M36" s="1118">
        <v>0</v>
      </c>
      <c r="N36" s="1119">
        <v>0</v>
      </c>
      <c r="O36" s="1118">
        <v>7321</v>
      </c>
      <c r="P36" s="1119">
        <v>4.1145827260000001</v>
      </c>
      <c r="Q36" s="1118">
        <v>57</v>
      </c>
      <c r="R36" s="1119">
        <v>5.5669700000000003E-2</v>
      </c>
      <c r="S36" s="1118">
        <v>3927</v>
      </c>
      <c r="T36" s="1119">
        <v>2.6760783999999997</v>
      </c>
      <c r="U36" s="1118">
        <v>0</v>
      </c>
      <c r="V36" s="1119">
        <v>0</v>
      </c>
      <c r="W36" s="1118">
        <v>16940</v>
      </c>
      <c r="X36" s="1119">
        <v>12.491335525999999</v>
      </c>
      <c r="Y36" s="1119">
        <v>31.113127879</v>
      </c>
      <c r="Z36" s="1970" t="s">
        <v>739</v>
      </c>
      <c r="AA36" s="1006" t="s">
        <v>2600</v>
      </c>
      <c r="AB36" s="1150">
        <v>750690</v>
      </c>
      <c r="AC36" s="1151">
        <v>537.46096850000004</v>
      </c>
      <c r="AD36" s="1150">
        <v>0</v>
      </c>
      <c r="AE36" s="1151">
        <v>0</v>
      </c>
      <c r="AF36" s="1150">
        <v>78948</v>
      </c>
      <c r="AG36" s="1151">
        <v>19.661698423000001</v>
      </c>
      <c r="AH36" s="1150">
        <v>0</v>
      </c>
      <c r="AI36" s="1151">
        <v>0</v>
      </c>
      <c r="AJ36" s="1150">
        <v>58513</v>
      </c>
      <c r="AK36" s="1151">
        <v>12.774134699999999</v>
      </c>
      <c r="AL36" s="1150">
        <v>0</v>
      </c>
      <c r="AM36" s="1151">
        <v>0</v>
      </c>
      <c r="AN36" s="1150">
        <v>888151</v>
      </c>
      <c r="AO36" s="1151">
        <v>569.89680162299999</v>
      </c>
      <c r="AP36" s="1150">
        <v>2695</v>
      </c>
      <c r="AQ36" s="1151">
        <v>3.12280209</v>
      </c>
      <c r="AR36" s="1150">
        <v>0</v>
      </c>
      <c r="AS36" s="1151">
        <v>0</v>
      </c>
      <c r="AT36" s="1150">
        <v>0</v>
      </c>
      <c r="AU36" s="1151">
        <v>0</v>
      </c>
      <c r="AV36" s="1150">
        <v>0</v>
      </c>
      <c r="AW36" s="1433">
        <v>0</v>
      </c>
      <c r="AX36" s="1970" t="s">
        <v>739</v>
      </c>
      <c r="AY36" s="1006" t="s">
        <v>2600</v>
      </c>
      <c r="AZ36" s="1118">
        <v>0</v>
      </c>
      <c r="BA36" s="1119">
        <v>0</v>
      </c>
      <c r="BB36" s="1118">
        <v>0</v>
      </c>
      <c r="BC36" s="1119">
        <v>0</v>
      </c>
      <c r="BD36" s="1118">
        <v>907786</v>
      </c>
      <c r="BE36" s="1119">
        <v>585.51093923899998</v>
      </c>
      <c r="BF36" s="1118">
        <v>10276</v>
      </c>
      <c r="BG36" s="1118">
        <v>731094</v>
      </c>
      <c r="BH36" s="1118">
        <v>24886</v>
      </c>
      <c r="BI36" s="1118">
        <v>766256</v>
      </c>
      <c r="BJ36" s="1118">
        <v>0</v>
      </c>
      <c r="BK36" s="1118">
        <v>0</v>
      </c>
      <c r="BL36" s="1119">
        <v>0</v>
      </c>
      <c r="BM36" s="1118">
        <v>141929</v>
      </c>
      <c r="BN36" s="1118">
        <v>474732</v>
      </c>
      <c r="BO36" s="1119">
        <v>99.951927600000005</v>
      </c>
      <c r="BP36" s="1118">
        <v>21453772</v>
      </c>
      <c r="BQ36" s="1118">
        <v>396</v>
      </c>
      <c r="BR36" s="1118">
        <v>237011</v>
      </c>
      <c r="BS36" s="1119">
        <v>491.74459769999999</v>
      </c>
      <c r="BT36" s="1118">
        <v>296744</v>
      </c>
      <c r="BU36" s="1118">
        <v>299</v>
      </c>
      <c r="BV36" s="774">
        <v>0</v>
      </c>
    </row>
    <row r="37" spans="1:74" s="730" customFormat="1" ht="9.9499999999999993" customHeight="1">
      <c r="A37" s="1890"/>
      <c r="B37" s="880" t="s">
        <v>2601</v>
      </c>
      <c r="C37" s="1124">
        <v>15123</v>
      </c>
      <c r="D37" s="766">
        <v>1709.5802816979999</v>
      </c>
      <c r="E37" s="765">
        <v>3657</v>
      </c>
      <c r="F37" s="766">
        <v>18.390316400000003</v>
      </c>
      <c r="G37" s="765">
        <v>18780</v>
      </c>
      <c r="H37" s="766">
        <v>1727.970598098</v>
      </c>
      <c r="I37" s="765">
        <v>3779</v>
      </c>
      <c r="J37" s="766">
        <v>93.069816703000001</v>
      </c>
      <c r="K37" s="765">
        <v>0</v>
      </c>
      <c r="L37" s="766">
        <v>0</v>
      </c>
      <c r="M37" s="765">
        <v>0</v>
      </c>
      <c r="N37" s="766">
        <v>0</v>
      </c>
      <c r="O37" s="765">
        <v>0</v>
      </c>
      <c r="P37" s="766">
        <v>0</v>
      </c>
      <c r="Q37" s="765">
        <v>0</v>
      </c>
      <c r="R37" s="766">
        <v>0</v>
      </c>
      <c r="S37" s="765">
        <v>0</v>
      </c>
      <c r="T37" s="766">
        <v>0</v>
      </c>
      <c r="U37" s="765">
        <v>0</v>
      </c>
      <c r="V37" s="766">
        <v>0</v>
      </c>
      <c r="W37" s="765">
        <v>0</v>
      </c>
      <c r="X37" s="766">
        <v>0</v>
      </c>
      <c r="Y37" s="766">
        <v>0</v>
      </c>
      <c r="Z37" s="1971"/>
      <c r="AA37" s="880" t="s">
        <v>2601</v>
      </c>
      <c r="AB37" s="1147">
        <v>7875</v>
      </c>
      <c r="AC37" s="1149">
        <v>6.7239000000000004</v>
      </c>
      <c r="AD37" s="1147">
        <v>0</v>
      </c>
      <c r="AE37" s="1149">
        <v>0</v>
      </c>
      <c r="AF37" s="1147">
        <v>451</v>
      </c>
      <c r="AG37" s="1149">
        <v>0.13546148199999999</v>
      </c>
      <c r="AH37" s="1147">
        <v>0</v>
      </c>
      <c r="AI37" s="1149">
        <v>0</v>
      </c>
      <c r="AJ37" s="1147">
        <v>0</v>
      </c>
      <c r="AK37" s="1149">
        <v>0</v>
      </c>
      <c r="AL37" s="1147">
        <v>0</v>
      </c>
      <c r="AM37" s="1149">
        <v>0</v>
      </c>
      <c r="AN37" s="1147">
        <v>8326</v>
      </c>
      <c r="AO37" s="1149">
        <v>6.8593614820000006</v>
      </c>
      <c r="AP37" s="1147">
        <v>0</v>
      </c>
      <c r="AQ37" s="1149">
        <v>0</v>
      </c>
      <c r="AR37" s="1147">
        <v>0</v>
      </c>
      <c r="AS37" s="1149">
        <v>0</v>
      </c>
      <c r="AT37" s="1147">
        <v>0</v>
      </c>
      <c r="AU37" s="1149">
        <v>0</v>
      </c>
      <c r="AV37" s="1147">
        <v>0</v>
      </c>
      <c r="AW37" s="1436">
        <v>0</v>
      </c>
      <c r="AX37" s="1971"/>
      <c r="AY37" s="880" t="s">
        <v>2601</v>
      </c>
      <c r="AZ37" s="765">
        <v>0</v>
      </c>
      <c r="BA37" s="766">
        <v>0</v>
      </c>
      <c r="BB37" s="765">
        <v>0</v>
      </c>
      <c r="BC37" s="766">
        <v>0</v>
      </c>
      <c r="BD37" s="765">
        <v>8326</v>
      </c>
      <c r="BE37" s="766">
        <v>6.8593614820000006</v>
      </c>
      <c r="BF37" s="765">
        <v>0</v>
      </c>
      <c r="BG37" s="765">
        <v>9968</v>
      </c>
      <c r="BH37" s="765">
        <v>0</v>
      </c>
      <c r="BI37" s="765">
        <v>9968</v>
      </c>
      <c r="BJ37" s="765">
        <v>0</v>
      </c>
      <c r="BK37" s="765">
        <v>0</v>
      </c>
      <c r="BL37" s="766">
        <v>0</v>
      </c>
      <c r="BM37" s="765">
        <v>0</v>
      </c>
      <c r="BN37" s="765">
        <v>0</v>
      </c>
      <c r="BO37" s="766">
        <v>0</v>
      </c>
      <c r="BP37" s="765">
        <v>0</v>
      </c>
      <c r="BQ37" s="765">
        <v>0</v>
      </c>
      <c r="BR37" s="765">
        <v>0</v>
      </c>
      <c r="BS37" s="766">
        <v>0</v>
      </c>
      <c r="BT37" s="765">
        <v>0</v>
      </c>
      <c r="BU37" s="765">
        <v>7</v>
      </c>
      <c r="BV37" s="773">
        <v>0</v>
      </c>
    </row>
    <row r="38" spans="1:74" s="730" customFormat="1" ht="9.9499999999999993" customHeight="1">
      <c r="A38" s="1890"/>
      <c r="B38" s="879" t="s">
        <v>1502</v>
      </c>
      <c r="C38" s="1123">
        <v>1394619</v>
      </c>
      <c r="D38" s="768">
        <v>136566.72655666296</v>
      </c>
      <c r="E38" s="767">
        <v>1311</v>
      </c>
      <c r="F38" s="768">
        <v>312.85704847900001</v>
      </c>
      <c r="G38" s="767">
        <v>1395930</v>
      </c>
      <c r="H38" s="768">
        <v>136879.58360514196</v>
      </c>
      <c r="I38" s="767">
        <v>2645302</v>
      </c>
      <c r="J38" s="768">
        <v>23913.256399402002</v>
      </c>
      <c r="K38" s="767">
        <v>297085</v>
      </c>
      <c r="L38" s="768">
        <v>236.77112909900001</v>
      </c>
      <c r="M38" s="767">
        <v>1339</v>
      </c>
      <c r="N38" s="768">
        <v>2.5983097549499998</v>
      </c>
      <c r="O38" s="767">
        <v>1361678</v>
      </c>
      <c r="P38" s="768">
        <v>889.62809695300018</v>
      </c>
      <c r="Q38" s="767">
        <v>76162</v>
      </c>
      <c r="R38" s="768">
        <v>58.566820310699995</v>
      </c>
      <c r="S38" s="767">
        <v>567765</v>
      </c>
      <c r="T38" s="768">
        <v>315.08085271499993</v>
      </c>
      <c r="U38" s="767">
        <v>100563</v>
      </c>
      <c r="V38" s="768">
        <v>38.637421101700006</v>
      </c>
      <c r="W38" s="767">
        <v>2404592</v>
      </c>
      <c r="X38" s="768">
        <v>1541.2826299343503</v>
      </c>
      <c r="Y38" s="768">
        <v>5442.3251166159998</v>
      </c>
      <c r="Z38" s="1971"/>
      <c r="AA38" s="879" t="s">
        <v>1502</v>
      </c>
      <c r="AB38" s="1150">
        <v>21842233</v>
      </c>
      <c r="AC38" s="1151">
        <v>19649.813697870006</v>
      </c>
      <c r="AD38" s="1150">
        <v>981</v>
      </c>
      <c r="AE38" s="1151">
        <v>1.5427068920000002</v>
      </c>
      <c r="AF38" s="1150">
        <v>1231907</v>
      </c>
      <c r="AG38" s="1151">
        <v>483.36647297199988</v>
      </c>
      <c r="AH38" s="1150">
        <v>8805</v>
      </c>
      <c r="AI38" s="1151">
        <v>4.1611969929999999</v>
      </c>
      <c r="AJ38" s="1150">
        <v>1332608</v>
      </c>
      <c r="AK38" s="1151">
        <v>353.33581674200002</v>
      </c>
      <c r="AL38" s="1150">
        <v>22517</v>
      </c>
      <c r="AM38" s="1151">
        <v>5.0864722580000006</v>
      </c>
      <c r="AN38" s="1150">
        <v>24439051</v>
      </c>
      <c r="AO38" s="1151">
        <v>20497.30636372701</v>
      </c>
      <c r="AP38" s="1150">
        <v>236018</v>
      </c>
      <c r="AQ38" s="1151">
        <v>153.58277796999997</v>
      </c>
      <c r="AR38" s="1150">
        <v>122499</v>
      </c>
      <c r="AS38" s="1151">
        <v>22.493240042450008</v>
      </c>
      <c r="AT38" s="1150">
        <v>76940</v>
      </c>
      <c r="AU38" s="1151">
        <v>91.088419999999985</v>
      </c>
      <c r="AV38" s="1150">
        <v>95318</v>
      </c>
      <c r="AW38" s="1435">
        <v>74.173274243499989</v>
      </c>
      <c r="AX38" s="1971"/>
      <c r="AY38" s="879" t="s">
        <v>1502</v>
      </c>
      <c r="AZ38" s="767">
        <v>45725</v>
      </c>
      <c r="BA38" s="768">
        <v>11.859193227999999</v>
      </c>
      <c r="BB38" s="767">
        <v>217983</v>
      </c>
      <c r="BC38" s="768">
        <v>177.12088747149997</v>
      </c>
      <c r="BD38" s="767">
        <v>27420143</v>
      </c>
      <c r="BE38" s="768">
        <v>22391.785899145314</v>
      </c>
      <c r="BF38" s="767">
        <v>1592889</v>
      </c>
      <c r="BG38" s="767">
        <v>21356384</v>
      </c>
      <c r="BH38" s="767">
        <v>663675</v>
      </c>
      <c r="BI38" s="767">
        <v>23612948</v>
      </c>
      <c r="BJ38" s="767">
        <v>3257495</v>
      </c>
      <c r="BK38" s="767">
        <v>2132837</v>
      </c>
      <c r="BL38" s="768">
        <v>5393.0219211460017</v>
      </c>
      <c r="BM38" s="767">
        <v>927328</v>
      </c>
      <c r="BN38" s="767">
        <v>306793687</v>
      </c>
      <c r="BO38" s="768">
        <v>59542.420263629989</v>
      </c>
      <c r="BP38" s="767">
        <v>81342402</v>
      </c>
      <c r="BQ38" s="767">
        <v>11974</v>
      </c>
      <c r="BR38" s="767">
        <v>10964558</v>
      </c>
      <c r="BS38" s="768">
        <v>37736.138025656008</v>
      </c>
      <c r="BT38" s="767">
        <v>10725998</v>
      </c>
      <c r="BU38" s="767">
        <v>11775</v>
      </c>
      <c r="BV38" s="774">
        <v>79254</v>
      </c>
    </row>
    <row r="39" spans="1:74" s="730" customFormat="1" ht="9.9499999999999993" customHeight="1">
      <c r="A39" s="1890"/>
      <c r="B39" s="880" t="s">
        <v>1510</v>
      </c>
      <c r="C39" s="1124">
        <v>118023</v>
      </c>
      <c r="D39" s="766">
        <v>14110.076773039</v>
      </c>
      <c r="E39" s="765">
        <v>32</v>
      </c>
      <c r="F39" s="766">
        <v>0.38946789999999998</v>
      </c>
      <c r="G39" s="765">
        <v>118055</v>
      </c>
      <c r="H39" s="766">
        <v>14110.466240939</v>
      </c>
      <c r="I39" s="765">
        <v>693917</v>
      </c>
      <c r="J39" s="766">
        <v>7191.0746233050004</v>
      </c>
      <c r="K39" s="765">
        <v>21804</v>
      </c>
      <c r="L39" s="766">
        <v>32.788781972000002</v>
      </c>
      <c r="M39" s="765">
        <v>58</v>
      </c>
      <c r="N39" s="766">
        <v>8.3061256E-2</v>
      </c>
      <c r="O39" s="765">
        <v>283261</v>
      </c>
      <c r="P39" s="766">
        <v>134.06858510800001</v>
      </c>
      <c r="Q39" s="765">
        <v>1753</v>
      </c>
      <c r="R39" s="766">
        <v>0.98625364299999996</v>
      </c>
      <c r="S39" s="765">
        <v>138310</v>
      </c>
      <c r="T39" s="766">
        <v>59.761154730000001</v>
      </c>
      <c r="U39" s="765">
        <v>6780</v>
      </c>
      <c r="V39" s="766">
        <v>1.720507939</v>
      </c>
      <c r="W39" s="765">
        <v>451966</v>
      </c>
      <c r="X39" s="766">
        <v>229.408344648</v>
      </c>
      <c r="Y39" s="766">
        <v>801.21794315500006</v>
      </c>
      <c r="Z39" s="1971"/>
      <c r="AA39" s="880" t="s">
        <v>1510</v>
      </c>
      <c r="AB39" s="1147">
        <v>729068</v>
      </c>
      <c r="AC39" s="1149">
        <v>833.20130747099995</v>
      </c>
      <c r="AD39" s="1147">
        <v>362</v>
      </c>
      <c r="AE39" s="1149">
        <v>0.98522105000000004</v>
      </c>
      <c r="AF39" s="1147">
        <v>155611</v>
      </c>
      <c r="AG39" s="1149">
        <v>55.042349487999999</v>
      </c>
      <c r="AH39" s="1147">
        <v>1042</v>
      </c>
      <c r="AI39" s="1149">
        <v>1.3437280460000001</v>
      </c>
      <c r="AJ39" s="1147">
        <v>104977</v>
      </c>
      <c r="AK39" s="1149">
        <v>33.844911467000003</v>
      </c>
      <c r="AL39" s="1147">
        <v>1794</v>
      </c>
      <c r="AM39" s="1149">
        <v>1.8489137880000002</v>
      </c>
      <c r="AN39" s="1147">
        <v>992854</v>
      </c>
      <c r="AO39" s="1149">
        <v>926.26643130999992</v>
      </c>
      <c r="AP39" s="1147">
        <v>0</v>
      </c>
      <c r="AQ39" s="1149">
        <v>0</v>
      </c>
      <c r="AR39" s="1147">
        <v>4509</v>
      </c>
      <c r="AS39" s="1149">
        <v>1.613694975</v>
      </c>
      <c r="AT39" s="1147">
        <v>9475</v>
      </c>
      <c r="AU39" s="1149">
        <v>20.05359</v>
      </c>
      <c r="AV39" s="1147">
        <v>0</v>
      </c>
      <c r="AW39" s="1436">
        <v>0</v>
      </c>
      <c r="AX39" s="1971"/>
      <c r="AY39" s="880" t="s">
        <v>1510</v>
      </c>
      <c r="AZ39" s="765">
        <v>0</v>
      </c>
      <c r="BA39" s="766">
        <v>0</v>
      </c>
      <c r="BB39" s="765">
        <v>9475</v>
      </c>
      <c r="BC39" s="766">
        <v>20.05359</v>
      </c>
      <c r="BD39" s="765">
        <v>1458804</v>
      </c>
      <c r="BE39" s="766">
        <v>1177.3420609329999</v>
      </c>
      <c r="BF39" s="765">
        <v>133969</v>
      </c>
      <c r="BG39" s="765">
        <v>352401</v>
      </c>
      <c r="BH39" s="765">
        <v>123196</v>
      </c>
      <c r="BI39" s="765">
        <v>609566</v>
      </c>
      <c r="BJ39" s="765">
        <v>214577</v>
      </c>
      <c r="BK39" s="765">
        <v>468375</v>
      </c>
      <c r="BL39" s="766">
        <v>4978.0306571500005</v>
      </c>
      <c r="BM39" s="765">
        <v>0</v>
      </c>
      <c r="BN39" s="765">
        <v>0</v>
      </c>
      <c r="BO39" s="766">
        <v>0</v>
      </c>
      <c r="BP39" s="765">
        <v>0</v>
      </c>
      <c r="BQ39" s="765">
        <v>0</v>
      </c>
      <c r="BR39" s="765">
        <v>0</v>
      </c>
      <c r="BS39" s="766">
        <v>0</v>
      </c>
      <c r="BT39" s="765">
        <v>0</v>
      </c>
      <c r="BU39" s="765">
        <v>144</v>
      </c>
      <c r="BV39" s="773">
        <v>0</v>
      </c>
    </row>
    <row r="40" spans="1:74" s="730" customFormat="1" ht="9.9499999999999993" customHeight="1">
      <c r="A40" s="1891"/>
      <c r="B40" s="1392" t="s">
        <v>659</v>
      </c>
      <c r="C40" s="1393">
        <v>1914982</v>
      </c>
      <c r="D40" s="1394">
        <v>207459.37645661499</v>
      </c>
      <c r="E40" s="1393">
        <v>45755</v>
      </c>
      <c r="F40" s="1394">
        <v>818.51810823200003</v>
      </c>
      <c r="G40" s="1395">
        <v>1960737</v>
      </c>
      <c r="H40" s="1394">
        <v>208277.894564847</v>
      </c>
      <c r="I40" s="1395">
        <v>3484113</v>
      </c>
      <c r="J40" s="1394">
        <v>32726.737246825003</v>
      </c>
      <c r="K40" s="1395">
        <v>324524</v>
      </c>
      <c r="L40" s="1394">
        <v>275.204915771</v>
      </c>
      <c r="M40" s="1395">
        <v>1397</v>
      </c>
      <c r="N40" s="1394">
        <v>2.68137101095</v>
      </c>
      <c r="O40" s="1395">
        <v>1652260</v>
      </c>
      <c r="P40" s="1394">
        <v>1027.8112647870003</v>
      </c>
      <c r="Q40" s="1395">
        <v>77972</v>
      </c>
      <c r="R40" s="1394">
        <v>59.608743653699996</v>
      </c>
      <c r="S40" s="1395">
        <v>710002</v>
      </c>
      <c r="T40" s="1394">
        <v>377.51808584499992</v>
      </c>
      <c r="U40" s="1395">
        <v>107343</v>
      </c>
      <c r="V40" s="1394">
        <v>40.357929040700007</v>
      </c>
      <c r="W40" s="1395">
        <v>2873498</v>
      </c>
      <c r="X40" s="1394">
        <v>1783.1823101083501</v>
      </c>
      <c r="Y40" s="1394">
        <v>6274.65618765</v>
      </c>
      <c r="Z40" s="1977"/>
      <c r="AA40" s="1392" t="s">
        <v>659</v>
      </c>
      <c r="AB40" s="1513">
        <v>23329866</v>
      </c>
      <c r="AC40" s="1514">
        <v>21027.199873841008</v>
      </c>
      <c r="AD40" s="1513">
        <v>1343</v>
      </c>
      <c r="AE40" s="1514">
        <v>2.5279279420000003</v>
      </c>
      <c r="AF40" s="1513">
        <v>1466917</v>
      </c>
      <c r="AG40" s="1514">
        <v>558.20598236499984</v>
      </c>
      <c r="AH40" s="1513">
        <v>9847</v>
      </c>
      <c r="AI40" s="1514">
        <v>5.5049250389999997</v>
      </c>
      <c r="AJ40" s="1513">
        <v>1496098</v>
      </c>
      <c r="AK40" s="1514">
        <v>399.95486290899998</v>
      </c>
      <c r="AL40" s="1513">
        <v>24311</v>
      </c>
      <c r="AM40" s="1514">
        <v>6.9353860460000005</v>
      </c>
      <c r="AN40" s="1513">
        <v>26328382</v>
      </c>
      <c r="AO40" s="1514">
        <v>22000.328958142007</v>
      </c>
      <c r="AP40" s="1513">
        <v>238713</v>
      </c>
      <c r="AQ40" s="1514">
        <v>156.70558005999996</v>
      </c>
      <c r="AR40" s="1513">
        <v>127008</v>
      </c>
      <c r="AS40" s="1514">
        <v>24.106935017450009</v>
      </c>
      <c r="AT40" s="1513">
        <v>86415</v>
      </c>
      <c r="AU40" s="1514">
        <v>111.14200999999998</v>
      </c>
      <c r="AV40" s="1513">
        <v>95318</v>
      </c>
      <c r="AW40" s="1434">
        <v>74.173274243499989</v>
      </c>
      <c r="AX40" s="1977"/>
      <c r="AY40" s="1392" t="s">
        <v>659</v>
      </c>
      <c r="AZ40" s="1395">
        <v>45725</v>
      </c>
      <c r="BA40" s="1394">
        <v>11.859193227999999</v>
      </c>
      <c r="BB40" s="1395">
        <v>227458</v>
      </c>
      <c r="BC40" s="1394">
        <v>197.17447747149998</v>
      </c>
      <c r="BD40" s="1395">
        <v>29795059</v>
      </c>
      <c r="BE40" s="1394">
        <v>24161.498260799308</v>
      </c>
      <c r="BF40" s="1395">
        <v>1737134</v>
      </c>
      <c r="BG40" s="1395">
        <v>22449847</v>
      </c>
      <c r="BH40" s="1395">
        <v>811757</v>
      </c>
      <c r="BI40" s="1395">
        <v>24998738</v>
      </c>
      <c r="BJ40" s="1395">
        <v>3472072</v>
      </c>
      <c r="BK40" s="1395">
        <v>2601212</v>
      </c>
      <c r="BL40" s="1394">
        <v>10371.052578296003</v>
      </c>
      <c r="BM40" s="1395">
        <v>1069257</v>
      </c>
      <c r="BN40" s="1395">
        <v>307268419</v>
      </c>
      <c r="BO40" s="1394">
        <v>59642.372191229988</v>
      </c>
      <c r="BP40" s="1395">
        <v>102796174</v>
      </c>
      <c r="BQ40" s="1395">
        <v>12370</v>
      </c>
      <c r="BR40" s="1395">
        <v>11201569</v>
      </c>
      <c r="BS40" s="1394">
        <v>38227.88262335601</v>
      </c>
      <c r="BT40" s="1395">
        <v>11022742</v>
      </c>
      <c r="BU40" s="1395">
        <v>12225</v>
      </c>
      <c r="BV40" s="1396">
        <v>79254</v>
      </c>
    </row>
    <row r="41" spans="1:74" s="1381" customFormat="1" ht="9.9499999999999993" customHeight="1">
      <c r="A41" s="1889" t="s">
        <v>748</v>
      </c>
      <c r="B41" s="1122" t="s">
        <v>2600</v>
      </c>
      <c r="C41" s="1506">
        <v>240787</v>
      </c>
      <c r="D41" s="1438">
        <v>43600.471282451006</v>
      </c>
      <c r="E41" s="1507">
        <v>35709</v>
      </c>
      <c r="F41" s="1438">
        <v>688.84673226400002</v>
      </c>
      <c r="G41" s="1507">
        <v>276496</v>
      </c>
      <c r="H41" s="1438">
        <v>44289.318014715005</v>
      </c>
      <c r="I41" s="1507">
        <v>149334</v>
      </c>
      <c r="J41" s="1438">
        <v>1873.5229749070002</v>
      </c>
      <c r="K41" s="1507">
        <v>3967</v>
      </c>
      <c r="L41" s="1438">
        <v>4.2332426000000005</v>
      </c>
      <c r="M41" s="1507">
        <v>0</v>
      </c>
      <c r="N41" s="1438">
        <v>0</v>
      </c>
      <c r="O41" s="1507">
        <v>5856</v>
      </c>
      <c r="P41" s="1438">
        <v>3.5113235569999999</v>
      </c>
      <c r="Q41" s="1507">
        <v>48</v>
      </c>
      <c r="R41" s="1438">
        <v>1.9924799999999999E-2</v>
      </c>
      <c r="S41" s="1507">
        <v>3445</v>
      </c>
      <c r="T41" s="1438">
        <v>2.2656147999999998</v>
      </c>
      <c r="U41" s="1507">
        <v>0</v>
      </c>
      <c r="V41" s="1438">
        <v>0</v>
      </c>
      <c r="W41" s="1507">
        <v>13316</v>
      </c>
      <c r="X41" s="1438">
        <v>10.030105757000001</v>
      </c>
      <c r="Y41" s="1438">
        <v>52.077630448000001</v>
      </c>
      <c r="Z41" s="1889" t="s">
        <v>748</v>
      </c>
      <c r="AA41" s="1507" t="s">
        <v>2600</v>
      </c>
      <c r="AB41" s="1507">
        <v>604505</v>
      </c>
      <c r="AC41" s="1438">
        <v>572.01541559999998</v>
      </c>
      <c r="AD41" s="1507">
        <v>0</v>
      </c>
      <c r="AE41" s="1438">
        <v>0</v>
      </c>
      <c r="AF41" s="1507">
        <v>85444</v>
      </c>
      <c r="AG41" s="1438">
        <v>23.716982768999998</v>
      </c>
      <c r="AH41" s="1507">
        <v>0</v>
      </c>
      <c r="AI41" s="1438">
        <v>0</v>
      </c>
      <c r="AJ41" s="1507">
        <v>63944</v>
      </c>
      <c r="AK41" s="1438">
        <v>15.727499399999999</v>
      </c>
      <c r="AL41" s="1507">
        <v>0</v>
      </c>
      <c r="AM41" s="1438">
        <v>0</v>
      </c>
      <c r="AN41" s="1507">
        <v>753893</v>
      </c>
      <c r="AO41" s="1438">
        <v>611.45989776900001</v>
      </c>
      <c r="AP41" s="1507">
        <v>2649</v>
      </c>
      <c r="AQ41" s="1438">
        <v>3.2300490420000005</v>
      </c>
      <c r="AR41" s="1507">
        <v>0</v>
      </c>
      <c r="AS41" s="1438">
        <v>0</v>
      </c>
      <c r="AT41" s="1507">
        <v>0</v>
      </c>
      <c r="AU41" s="1438">
        <v>0</v>
      </c>
      <c r="AV41" s="1507">
        <v>0</v>
      </c>
      <c r="AW41" s="1436">
        <v>0</v>
      </c>
      <c r="AX41" s="1889" t="s">
        <v>748</v>
      </c>
      <c r="AY41" s="1507" t="s">
        <v>2600</v>
      </c>
      <c r="AZ41" s="1507">
        <v>0</v>
      </c>
      <c r="BA41" s="1438">
        <v>0</v>
      </c>
      <c r="BB41" s="1507">
        <v>0</v>
      </c>
      <c r="BC41" s="1438">
        <v>0</v>
      </c>
      <c r="BD41" s="1507">
        <v>769858</v>
      </c>
      <c r="BE41" s="1438">
        <v>624.72005256800003</v>
      </c>
      <c r="BF41" s="1507">
        <v>10358</v>
      </c>
      <c r="BG41" s="1507">
        <v>738910</v>
      </c>
      <c r="BH41" s="1507">
        <v>24909</v>
      </c>
      <c r="BI41" s="1507">
        <v>774177</v>
      </c>
      <c r="BJ41" s="1507">
        <v>0</v>
      </c>
      <c r="BK41" s="1507">
        <v>0</v>
      </c>
      <c r="BL41" s="1438">
        <v>0</v>
      </c>
      <c r="BM41" s="1507">
        <v>141982</v>
      </c>
      <c r="BN41" s="1507">
        <v>324026</v>
      </c>
      <c r="BO41" s="1438">
        <v>83.905299099999993</v>
      </c>
      <c r="BP41" s="1507">
        <v>15657977</v>
      </c>
      <c r="BQ41" s="1507">
        <v>396</v>
      </c>
      <c r="BR41" s="1507">
        <v>196533</v>
      </c>
      <c r="BS41" s="1438">
        <v>447.51047460000001</v>
      </c>
      <c r="BT41" s="1507">
        <v>314650</v>
      </c>
      <c r="BU41" s="1507">
        <v>298</v>
      </c>
      <c r="BV41" s="1516">
        <v>0</v>
      </c>
    </row>
    <row r="42" spans="1:74" s="730" customFormat="1" ht="9.9499999999999993" customHeight="1">
      <c r="A42" s="1890"/>
      <c r="B42" s="769" t="s">
        <v>2601</v>
      </c>
      <c r="C42" s="1150">
        <v>8855</v>
      </c>
      <c r="D42" s="1151">
        <v>1156.2953799720001</v>
      </c>
      <c r="E42" s="1152">
        <v>3408</v>
      </c>
      <c r="F42" s="1151">
        <v>15.4511</v>
      </c>
      <c r="G42" s="1152">
        <v>12263</v>
      </c>
      <c r="H42" s="1151">
        <v>1171.7464799720001</v>
      </c>
      <c r="I42" s="1152">
        <v>2142</v>
      </c>
      <c r="J42" s="1151">
        <v>72.769672582999988</v>
      </c>
      <c r="K42" s="1152">
        <v>0</v>
      </c>
      <c r="L42" s="1151">
        <v>0</v>
      </c>
      <c r="M42" s="1152">
        <v>0</v>
      </c>
      <c r="N42" s="1151">
        <v>0</v>
      </c>
      <c r="O42" s="1152">
        <v>0</v>
      </c>
      <c r="P42" s="1151">
        <v>0</v>
      </c>
      <c r="Q42" s="1152">
        <v>0</v>
      </c>
      <c r="R42" s="1151">
        <v>0</v>
      </c>
      <c r="S42" s="1152">
        <v>0</v>
      </c>
      <c r="T42" s="1151">
        <v>0</v>
      </c>
      <c r="U42" s="1152">
        <v>0</v>
      </c>
      <c r="V42" s="1151">
        <v>0</v>
      </c>
      <c r="W42" s="1152">
        <v>0</v>
      </c>
      <c r="X42" s="1151">
        <v>0</v>
      </c>
      <c r="Y42" s="1151">
        <v>0</v>
      </c>
      <c r="Z42" s="1890"/>
      <c r="AA42" s="769" t="s">
        <v>2601</v>
      </c>
      <c r="AB42" s="1152">
        <v>7949</v>
      </c>
      <c r="AC42" s="1151">
        <v>7.6391099999999996</v>
      </c>
      <c r="AD42" s="1152">
        <v>0</v>
      </c>
      <c r="AE42" s="1151">
        <v>0</v>
      </c>
      <c r="AF42" s="1152">
        <v>456</v>
      </c>
      <c r="AG42" s="1151">
        <v>0.17483204799999999</v>
      </c>
      <c r="AH42" s="1152">
        <v>0</v>
      </c>
      <c r="AI42" s="1151">
        <v>0</v>
      </c>
      <c r="AJ42" s="1152">
        <v>0</v>
      </c>
      <c r="AK42" s="1151">
        <v>0</v>
      </c>
      <c r="AL42" s="1152">
        <v>0</v>
      </c>
      <c r="AM42" s="1151">
        <v>0</v>
      </c>
      <c r="AN42" s="1152">
        <v>8405</v>
      </c>
      <c r="AO42" s="1151">
        <v>7.8139420479999995</v>
      </c>
      <c r="AP42" s="1152">
        <v>0</v>
      </c>
      <c r="AQ42" s="1151">
        <v>0</v>
      </c>
      <c r="AR42" s="1152">
        <v>0</v>
      </c>
      <c r="AS42" s="1151">
        <v>0</v>
      </c>
      <c r="AT42" s="1152">
        <v>0</v>
      </c>
      <c r="AU42" s="1151">
        <v>0</v>
      </c>
      <c r="AV42" s="1152">
        <v>0</v>
      </c>
      <c r="AW42" s="1151">
        <v>0</v>
      </c>
      <c r="AX42" s="1890"/>
      <c r="AY42" s="769" t="s">
        <v>2601</v>
      </c>
      <c r="AZ42" s="1152">
        <v>0</v>
      </c>
      <c r="BA42" s="1151">
        <v>0</v>
      </c>
      <c r="BB42" s="1152">
        <v>0</v>
      </c>
      <c r="BC42" s="1151">
        <v>0</v>
      </c>
      <c r="BD42" s="1152">
        <v>8405</v>
      </c>
      <c r="BE42" s="1151">
        <v>7.8139420479999995</v>
      </c>
      <c r="BF42" s="1152">
        <v>0</v>
      </c>
      <c r="BG42" s="1152">
        <v>10245</v>
      </c>
      <c r="BH42" s="1152">
        <v>0</v>
      </c>
      <c r="BI42" s="1152">
        <v>10245</v>
      </c>
      <c r="BJ42" s="1152">
        <v>0</v>
      </c>
      <c r="BK42" s="1152">
        <v>0</v>
      </c>
      <c r="BL42" s="1151">
        <v>0</v>
      </c>
      <c r="BM42" s="1152">
        <v>0</v>
      </c>
      <c r="BN42" s="1152">
        <v>0</v>
      </c>
      <c r="BO42" s="1151">
        <v>0</v>
      </c>
      <c r="BP42" s="1152">
        <v>0</v>
      </c>
      <c r="BQ42" s="1152">
        <v>0</v>
      </c>
      <c r="BR42" s="1152">
        <v>0</v>
      </c>
      <c r="BS42" s="1151">
        <v>0</v>
      </c>
      <c r="BT42" s="1152">
        <v>0</v>
      </c>
      <c r="BU42" s="1152">
        <v>7</v>
      </c>
      <c r="BV42" s="1153">
        <v>0</v>
      </c>
    </row>
    <row r="43" spans="1:74" s="730" customFormat="1" ht="9.9499999999999993" customHeight="1">
      <c r="A43" s="1890"/>
      <c r="B43" s="726" t="s">
        <v>1502</v>
      </c>
      <c r="C43" s="1147">
        <v>1010827</v>
      </c>
      <c r="D43" s="1149">
        <v>113011.47374238505</v>
      </c>
      <c r="E43" s="729">
        <v>1176</v>
      </c>
      <c r="F43" s="1149">
        <v>277.25031404000003</v>
      </c>
      <c r="G43" s="729">
        <v>1012003</v>
      </c>
      <c r="H43" s="1149">
        <v>113288.72405642504</v>
      </c>
      <c r="I43" s="729">
        <v>2202992</v>
      </c>
      <c r="J43" s="1149">
        <v>20661.737599087995</v>
      </c>
      <c r="K43" s="729">
        <v>272671</v>
      </c>
      <c r="L43" s="1149">
        <v>226.10267476900003</v>
      </c>
      <c r="M43" s="729">
        <v>1296</v>
      </c>
      <c r="N43" s="1149">
        <v>2.2609886371500005</v>
      </c>
      <c r="O43" s="729">
        <v>994063</v>
      </c>
      <c r="P43" s="1149">
        <v>703.18415720500002</v>
      </c>
      <c r="Q43" s="729">
        <v>58586</v>
      </c>
      <c r="R43" s="1149">
        <v>40.710547984599998</v>
      </c>
      <c r="S43" s="729">
        <v>580251</v>
      </c>
      <c r="T43" s="1149">
        <v>336.91285755400003</v>
      </c>
      <c r="U43" s="729">
        <v>72637</v>
      </c>
      <c r="V43" s="1149">
        <v>32.589708006049996</v>
      </c>
      <c r="W43" s="729">
        <v>1979504</v>
      </c>
      <c r="X43" s="1149">
        <v>1341.7609341558</v>
      </c>
      <c r="Y43" s="1149">
        <v>5436.1996802480007</v>
      </c>
      <c r="Z43" s="1890"/>
      <c r="AA43" s="726" t="s">
        <v>1502</v>
      </c>
      <c r="AB43" s="729">
        <v>19658668</v>
      </c>
      <c r="AC43" s="1149">
        <v>18029.730157499998</v>
      </c>
      <c r="AD43" s="729">
        <v>1016</v>
      </c>
      <c r="AE43" s="1149">
        <v>1.7249099910000003</v>
      </c>
      <c r="AF43" s="729">
        <v>909863</v>
      </c>
      <c r="AG43" s="1149">
        <v>387.90105703600005</v>
      </c>
      <c r="AH43" s="729">
        <v>8193</v>
      </c>
      <c r="AI43" s="1149">
        <v>3.5229242120000004</v>
      </c>
      <c r="AJ43" s="729">
        <v>1279669</v>
      </c>
      <c r="AK43" s="1149">
        <v>382.04704288800014</v>
      </c>
      <c r="AL43" s="729">
        <v>17874</v>
      </c>
      <c r="AM43" s="1149">
        <v>4.2900671810000004</v>
      </c>
      <c r="AN43" s="729">
        <v>21875283</v>
      </c>
      <c r="AO43" s="1149">
        <v>18809.216158807998</v>
      </c>
      <c r="AP43" s="729">
        <v>230414</v>
      </c>
      <c r="AQ43" s="1149">
        <v>151.18694022300005</v>
      </c>
      <c r="AR43" s="729">
        <v>95363</v>
      </c>
      <c r="AS43" s="1149">
        <v>18.193219678149998</v>
      </c>
      <c r="AT43" s="729">
        <v>63733</v>
      </c>
      <c r="AU43" s="1149">
        <v>70.119250000000008</v>
      </c>
      <c r="AV43" s="729">
        <v>61388</v>
      </c>
      <c r="AW43" s="1149">
        <v>50.316289002699996</v>
      </c>
      <c r="AX43" s="1890"/>
      <c r="AY43" s="726" t="s">
        <v>1502</v>
      </c>
      <c r="AZ43" s="729">
        <v>48085</v>
      </c>
      <c r="BA43" s="1149">
        <v>13.765987857999999</v>
      </c>
      <c r="BB43" s="729">
        <v>173206</v>
      </c>
      <c r="BC43" s="1149">
        <v>134.2015268607</v>
      </c>
      <c r="BD43" s="729">
        <v>24353770</v>
      </c>
      <c r="BE43" s="1149">
        <v>20454.558779725645</v>
      </c>
      <c r="BF43" s="729">
        <v>1603318</v>
      </c>
      <c r="BG43" s="729">
        <v>21688155</v>
      </c>
      <c r="BH43" s="729">
        <v>720219</v>
      </c>
      <c r="BI43" s="729">
        <v>24011692</v>
      </c>
      <c r="BJ43" s="729">
        <v>3220101</v>
      </c>
      <c r="BK43" s="729">
        <v>2120140</v>
      </c>
      <c r="BL43" s="1149">
        <v>5535.0180852169997</v>
      </c>
      <c r="BM43" s="729">
        <v>919799</v>
      </c>
      <c r="BN43" s="729">
        <v>304654583</v>
      </c>
      <c r="BO43" s="1149">
        <v>63357.326554186999</v>
      </c>
      <c r="BP43" s="729">
        <v>80818495</v>
      </c>
      <c r="BQ43" s="729">
        <v>12066</v>
      </c>
      <c r="BR43" s="729">
        <v>11737944</v>
      </c>
      <c r="BS43" s="1149">
        <v>34622.216477044996</v>
      </c>
      <c r="BT43" s="729">
        <v>11138489</v>
      </c>
      <c r="BU43" s="729">
        <v>11814</v>
      </c>
      <c r="BV43" s="1148">
        <v>80276</v>
      </c>
    </row>
    <row r="44" spans="1:74" s="730" customFormat="1" ht="9.9499999999999993" customHeight="1">
      <c r="A44" s="1890"/>
      <c r="B44" s="769" t="s">
        <v>1510</v>
      </c>
      <c r="C44" s="1150">
        <v>81230</v>
      </c>
      <c r="D44" s="1151">
        <v>10376.676700944001</v>
      </c>
      <c r="E44" s="1152">
        <v>16</v>
      </c>
      <c r="F44" s="1151">
        <v>6.3653799999999996E-2</v>
      </c>
      <c r="G44" s="1152">
        <v>81246</v>
      </c>
      <c r="H44" s="1151">
        <v>10376.740354744001</v>
      </c>
      <c r="I44" s="1152">
        <v>725673</v>
      </c>
      <c r="J44" s="1151">
        <v>7745.7002898499995</v>
      </c>
      <c r="K44" s="1152">
        <v>16766</v>
      </c>
      <c r="L44" s="1151">
        <v>27.629046717000001</v>
      </c>
      <c r="M44" s="1152">
        <v>29</v>
      </c>
      <c r="N44" s="1151">
        <v>3.6282911000000001E-2</v>
      </c>
      <c r="O44" s="1152">
        <v>195382</v>
      </c>
      <c r="P44" s="1151">
        <v>94.052331948000003</v>
      </c>
      <c r="Q44" s="1152">
        <v>1238</v>
      </c>
      <c r="R44" s="1151">
        <v>0.65155398700000011</v>
      </c>
      <c r="S44" s="1152">
        <v>124214</v>
      </c>
      <c r="T44" s="1151">
        <v>58.941294001999999</v>
      </c>
      <c r="U44" s="1152">
        <v>6159</v>
      </c>
      <c r="V44" s="1151">
        <v>1.462694956</v>
      </c>
      <c r="W44" s="1152">
        <v>343788</v>
      </c>
      <c r="X44" s="1151">
        <v>182.77320452100003</v>
      </c>
      <c r="Y44" s="1151">
        <v>771.65404172399997</v>
      </c>
      <c r="Z44" s="1890"/>
      <c r="AA44" s="769" t="s">
        <v>1510</v>
      </c>
      <c r="AB44" s="1152">
        <v>590370</v>
      </c>
      <c r="AC44" s="1151">
        <v>738.65883811200001</v>
      </c>
      <c r="AD44" s="1152">
        <v>313</v>
      </c>
      <c r="AE44" s="1151">
        <v>1.135694116</v>
      </c>
      <c r="AF44" s="1152">
        <v>86887</v>
      </c>
      <c r="AG44" s="1151">
        <v>35.914089015000002</v>
      </c>
      <c r="AH44" s="1152">
        <v>371</v>
      </c>
      <c r="AI44" s="1151">
        <v>0.71657417089999997</v>
      </c>
      <c r="AJ44" s="1152">
        <v>116196</v>
      </c>
      <c r="AK44" s="1151">
        <v>42.473579475000001</v>
      </c>
      <c r="AL44" s="1152">
        <v>1681</v>
      </c>
      <c r="AM44" s="1151">
        <v>1.1468191839999999</v>
      </c>
      <c r="AN44" s="1152">
        <v>795818</v>
      </c>
      <c r="AO44" s="1151">
        <v>820.04559407289992</v>
      </c>
      <c r="AP44" s="1152">
        <v>0</v>
      </c>
      <c r="AQ44" s="1151">
        <v>0</v>
      </c>
      <c r="AR44" s="1152">
        <v>2684</v>
      </c>
      <c r="AS44" s="1151">
        <v>0.97193901300000007</v>
      </c>
      <c r="AT44" s="1152">
        <v>6869</v>
      </c>
      <c r="AU44" s="1151">
        <v>16.11964</v>
      </c>
      <c r="AV44" s="1152">
        <v>0</v>
      </c>
      <c r="AW44" s="1151">
        <v>0</v>
      </c>
      <c r="AX44" s="1890"/>
      <c r="AY44" s="769" t="s">
        <v>1510</v>
      </c>
      <c r="AZ44" s="1152">
        <v>0</v>
      </c>
      <c r="BA44" s="1151">
        <v>0</v>
      </c>
      <c r="BB44" s="1152">
        <v>6869</v>
      </c>
      <c r="BC44" s="1151">
        <v>16.11964</v>
      </c>
      <c r="BD44" s="1152">
        <v>1149159</v>
      </c>
      <c r="BE44" s="1151">
        <v>1019.9103776068999</v>
      </c>
      <c r="BF44" s="1152">
        <v>133143</v>
      </c>
      <c r="BG44" s="1152">
        <v>354769</v>
      </c>
      <c r="BH44" s="1152">
        <v>117634</v>
      </c>
      <c r="BI44" s="1152">
        <v>605546</v>
      </c>
      <c r="BJ44" s="1152">
        <v>217161</v>
      </c>
      <c r="BK44" s="1152">
        <v>465391</v>
      </c>
      <c r="BL44" s="1151">
        <v>3832.8266618800003</v>
      </c>
      <c r="BM44" s="1152">
        <v>0</v>
      </c>
      <c r="BN44" s="1152">
        <v>0</v>
      </c>
      <c r="BO44" s="1151">
        <v>0</v>
      </c>
      <c r="BP44" s="1152">
        <v>0</v>
      </c>
      <c r="BQ44" s="1152">
        <v>0</v>
      </c>
      <c r="BR44" s="1152">
        <v>0</v>
      </c>
      <c r="BS44" s="1151">
        <v>0</v>
      </c>
      <c r="BT44" s="1152">
        <v>0</v>
      </c>
      <c r="BU44" s="1152">
        <v>140</v>
      </c>
      <c r="BV44" s="1153">
        <v>0</v>
      </c>
    </row>
    <row r="45" spans="1:74" s="730" customFormat="1" ht="9.9499999999999993" customHeight="1">
      <c r="A45" s="1891"/>
      <c r="B45" s="1340" t="s">
        <v>659</v>
      </c>
      <c r="C45" s="1508">
        <v>1341699</v>
      </c>
      <c r="D45" s="1509">
        <v>168144.91710575204</v>
      </c>
      <c r="E45" s="1510">
        <v>40309</v>
      </c>
      <c r="F45" s="1509">
        <v>981.61180010400005</v>
      </c>
      <c r="G45" s="1510">
        <v>1382008</v>
      </c>
      <c r="H45" s="1509">
        <v>169126.52890585604</v>
      </c>
      <c r="I45" s="1510">
        <v>3080141</v>
      </c>
      <c r="J45" s="1509">
        <v>30353.730536427996</v>
      </c>
      <c r="K45" s="1510">
        <v>293404</v>
      </c>
      <c r="L45" s="1509">
        <v>257.96496408600007</v>
      </c>
      <c r="M45" s="1510">
        <v>1325</v>
      </c>
      <c r="N45" s="1509">
        <v>2.2972715481500003</v>
      </c>
      <c r="O45" s="1510">
        <v>1195301</v>
      </c>
      <c r="P45" s="1509">
        <v>800.74781270999995</v>
      </c>
      <c r="Q45" s="1510">
        <v>59872</v>
      </c>
      <c r="R45" s="1509">
        <v>41.382026771599996</v>
      </c>
      <c r="S45" s="1510">
        <v>707910</v>
      </c>
      <c r="T45" s="1509">
        <v>398.11976635600001</v>
      </c>
      <c r="U45" s="1510">
        <v>78796</v>
      </c>
      <c r="V45" s="1509">
        <v>34.052402962049996</v>
      </c>
      <c r="W45" s="1510">
        <v>2336608</v>
      </c>
      <c r="X45" s="1509">
        <v>1534.5642444338</v>
      </c>
      <c r="Y45" s="1437">
        <v>6259.9313524200006</v>
      </c>
      <c r="Z45" s="1891"/>
      <c r="AA45" s="1341" t="s">
        <v>659</v>
      </c>
      <c r="AB45" s="1510">
        <v>20861492</v>
      </c>
      <c r="AC45" s="1509">
        <v>19348.043521211999</v>
      </c>
      <c r="AD45" s="1510">
        <v>1329</v>
      </c>
      <c r="AE45" s="1509">
        <v>2.8606041070000003</v>
      </c>
      <c r="AF45" s="1510">
        <v>1082650</v>
      </c>
      <c r="AG45" s="1509">
        <v>447.70696086800007</v>
      </c>
      <c r="AH45" s="1510">
        <v>8564</v>
      </c>
      <c r="AI45" s="1509">
        <v>4.2394983829000008</v>
      </c>
      <c r="AJ45" s="1510">
        <v>1459809</v>
      </c>
      <c r="AK45" s="1509">
        <v>440.24812176300014</v>
      </c>
      <c r="AL45" s="1510">
        <v>19555</v>
      </c>
      <c r="AM45" s="1509">
        <v>5.4368863650000003</v>
      </c>
      <c r="AN45" s="1510">
        <v>23433399</v>
      </c>
      <c r="AO45" s="1509">
        <v>20248.535592697903</v>
      </c>
      <c r="AP45" s="1510">
        <v>233063</v>
      </c>
      <c r="AQ45" s="1509">
        <v>154.41698926500004</v>
      </c>
      <c r="AR45" s="1510">
        <v>98047</v>
      </c>
      <c r="AS45" s="1509">
        <v>19.165158691149998</v>
      </c>
      <c r="AT45" s="1510">
        <v>70602</v>
      </c>
      <c r="AU45" s="1509">
        <v>86.238890000000012</v>
      </c>
      <c r="AV45" s="1510">
        <v>61388</v>
      </c>
      <c r="AW45" s="1437">
        <v>50.316289002699996</v>
      </c>
      <c r="AX45" s="1891"/>
      <c r="AY45" s="1341" t="s">
        <v>659</v>
      </c>
      <c r="AZ45" s="1510">
        <v>48085</v>
      </c>
      <c r="BA45" s="1509">
        <v>13.765987857999999</v>
      </c>
      <c r="BB45" s="1510">
        <v>180075</v>
      </c>
      <c r="BC45" s="1509">
        <v>150.3211668607</v>
      </c>
      <c r="BD45" s="1510">
        <v>26281192</v>
      </c>
      <c r="BE45" s="1509">
        <v>22107.003151948553</v>
      </c>
      <c r="BF45" s="1510">
        <v>1746819</v>
      </c>
      <c r="BG45" s="1510">
        <v>22792079</v>
      </c>
      <c r="BH45" s="1510">
        <v>862762</v>
      </c>
      <c r="BI45" s="1510">
        <v>25401660</v>
      </c>
      <c r="BJ45" s="1510">
        <v>3437262</v>
      </c>
      <c r="BK45" s="1510">
        <v>2585531</v>
      </c>
      <c r="BL45" s="1509">
        <v>9367.8447470970004</v>
      </c>
      <c r="BM45" s="1510">
        <v>1061781</v>
      </c>
      <c r="BN45" s="1510">
        <v>304978609</v>
      </c>
      <c r="BO45" s="1509">
        <v>63441.231853286998</v>
      </c>
      <c r="BP45" s="1510">
        <v>96476472</v>
      </c>
      <c r="BQ45" s="1510">
        <v>12462</v>
      </c>
      <c r="BR45" s="1510">
        <v>11934477</v>
      </c>
      <c r="BS45" s="1509">
        <v>35069.726951644996</v>
      </c>
      <c r="BT45" s="1510">
        <v>11453139</v>
      </c>
      <c r="BU45" s="1510">
        <v>12259</v>
      </c>
      <c r="BV45" s="1515">
        <v>80276</v>
      </c>
    </row>
    <row r="46" spans="1:74" s="730" customFormat="1" ht="9.9499999999999993" customHeight="1">
      <c r="A46" s="1889" t="s">
        <v>749</v>
      </c>
      <c r="B46" s="1006" t="s">
        <v>2600</v>
      </c>
      <c r="C46" s="1019">
        <v>284242</v>
      </c>
      <c r="D46" s="1012">
        <v>55243.967155088991</v>
      </c>
      <c r="E46" s="1019">
        <v>34929</v>
      </c>
      <c r="F46" s="1012">
        <v>548.40021230000002</v>
      </c>
      <c r="G46" s="1019">
        <v>319171</v>
      </c>
      <c r="H46" s="1012">
        <v>55792.367367388993</v>
      </c>
      <c r="I46" s="1019">
        <v>187981</v>
      </c>
      <c r="J46" s="1012">
        <v>1446.508980696</v>
      </c>
      <c r="K46" s="1019">
        <v>4566</v>
      </c>
      <c r="L46" s="1012">
        <v>4.8521635999999999</v>
      </c>
      <c r="M46" s="1019">
        <v>0</v>
      </c>
      <c r="N46" s="1012">
        <v>0</v>
      </c>
      <c r="O46" s="1019">
        <v>6809</v>
      </c>
      <c r="P46" s="1012">
        <v>5.075087237</v>
      </c>
      <c r="Q46" s="1019">
        <v>21</v>
      </c>
      <c r="R46" s="1012">
        <v>1.17508E-2</v>
      </c>
      <c r="S46" s="1019">
        <v>3130</v>
      </c>
      <c r="T46" s="1012">
        <v>3.5016601999999999</v>
      </c>
      <c r="U46" s="1019">
        <v>0</v>
      </c>
      <c r="V46" s="1012">
        <v>0</v>
      </c>
      <c r="W46" s="1019">
        <v>14526</v>
      </c>
      <c r="X46" s="1012">
        <v>13.440661836999999</v>
      </c>
      <c r="Y46" s="1012">
        <v>55.865624612000005</v>
      </c>
      <c r="Z46" s="1889" t="s">
        <v>749</v>
      </c>
      <c r="AA46" s="769" t="s">
        <v>2600</v>
      </c>
      <c r="AB46" s="1019">
        <v>702216</v>
      </c>
      <c r="AC46" s="1012">
        <v>689.56672419999995</v>
      </c>
      <c r="AD46" s="1019">
        <v>0</v>
      </c>
      <c r="AE46" s="1012">
        <v>0</v>
      </c>
      <c r="AF46" s="1019">
        <v>70277</v>
      </c>
      <c r="AG46" s="1012">
        <v>26.333557309</v>
      </c>
      <c r="AH46" s="1019">
        <v>0</v>
      </c>
      <c r="AI46" s="1012">
        <v>0</v>
      </c>
      <c r="AJ46" s="1019">
        <v>36559</v>
      </c>
      <c r="AK46" s="1012">
        <v>14.1077201</v>
      </c>
      <c r="AL46" s="1019">
        <v>0</v>
      </c>
      <c r="AM46" s="1012">
        <v>0</v>
      </c>
      <c r="AN46" s="1019">
        <v>809052</v>
      </c>
      <c r="AO46" s="1012">
        <v>730.00800160899996</v>
      </c>
      <c r="AP46" s="1019">
        <v>3753</v>
      </c>
      <c r="AQ46" s="1012">
        <v>5.3854325109999994</v>
      </c>
      <c r="AR46" s="1019">
        <v>0</v>
      </c>
      <c r="AS46" s="1012">
        <v>0</v>
      </c>
      <c r="AT46" s="1019">
        <v>0</v>
      </c>
      <c r="AU46" s="1012">
        <v>0</v>
      </c>
      <c r="AV46" s="1019">
        <v>0</v>
      </c>
      <c r="AW46" s="1012">
        <v>0</v>
      </c>
      <c r="AX46" s="1889" t="s">
        <v>749</v>
      </c>
      <c r="AY46" s="769" t="s">
        <v>2600</v>
      </c>
      <c r="AZ46" s="1019">
        <v>0</v>
      </c>
      <c r="BA46" s="1012">
        <v>0</v>
      </c>
      <c r="BB46" s="1019">
        <v>0</v>
      </c>
      <c r="BC46" s="1012">
        <v>0</v>
      </c>
      <c r="BD46" s="1019">
        <v>827331</v>
      </c>
      <c r="BE46" s="1012">
        <v>748.83409595699993</v>
      </c>
      <c r="BF46" s="1019">
        <v>10422</v>
      </c>
      <c r="BG46" s="1019">
        <v>753900</v>
      </c>
      <c r="BH46" s="1019">
        <v>24929</v>
      </c>
      <c r="BI46" s="1019">
        <v>789251</v>
      </c>
      <c r="BJ46" s="1019">
        <v>0</v>
      </c>
      <c r="BK46" s="1019">
        <v>0</v>
      </c>
      <c r="BL46" s="1012">
        <v>0</v>
      </c>
      <c r="BM46" s="1019">
        <v>142386</v>
      </c>
      <c r="BN46" s="1019">
        <v>285575</v>
      </c>
      <c r="BO46" s="1012">
        <v>53.211480700000003</v>
      </c>
      <c r="BP46" s="1019">
        <v>15697230</v>
      </c>
      <c r="BQ46" s="1019">
        <v>400</v>
      </c>
      <c r="BR46" s="1019">
        <v>216103</v>
      </c>
      <c r="BS46" s="1012">
        <v>476.99312739999999</v>
      </c>
      <c r="BT46" s="1019">
        <v>321864</v>
      </c>
      <c r="BU46" s="1019">
        <v>298</v>
      </c>
      <c r="BV46" s="1042">
        <v>0</v>
      </c>
    </row>
    <row r="47" spans="1:74" s="731" customFormat="1" ht="9.9499999999999993" customHeight="1">
      <c r="A47" s="1890"/>
      <c r="B47" s="880" t="s">
        <v>2601</v>
      </c>
      <c r="C47" s="1041">
        <v>13117</v>
      </c>
      <c r="D47" s="1013">
        <v>1781.2508799350003</v>
      </c>
      <c r="E47" s="1041">
        <v>3060</v>
      </c>
      <c r="F47" s="1013">
        <v>13.330870000000001</v>
      </c>
      <c r="G47" s="1041">
        <v>16177</v>
      </c>
      <c r="H47" s="1013">
        <v>1794.5817499350003</v>
      </c>
      <c r="I47" s="1041">
        <v>2664</v>
      </c>
      <c r="J47" s="1013">
        <v>72.082977595000003</v>
      </c>
      <c r="K47" s="1041">
        <v>0</v>
      </c>
      <c r="L47" s="1013">
        <v>0</v>
      </c>
      <c r="M47" s="1041">
        <v>0</v>
      </c>
      <c r="N47" s="1013">
        <v>0</v>
      </c>
      <c r="O47" s="1041">
        <v>0</v>
      </c>
      <c r="P47" s="1013">
        <v>0</v>
      </c>
      <c r="Q47" s="1041">
        <v>0</v>
      </c>
      <c r="R47" s="1013">
        <v>0</v>
      </c>
      <c r="S47" s="1041">
        <v>0</v>
      </c>
      <c r="T47" s="1013">
        <v>0</v>
      </c>
      <c r="U47" s="1041">
        <v>0</v>
      </c>
      <c r="V47" s="1013">
        <v>0</v>
      </c>
      <c r="W47" s="1041">
        <v>0</v>
      </c>
      <c r="X47" s="1013">
        <v>0</v>
      </c>
      <c r="Y47" s="1013">
        <v>0</v>
      </c>
      <c r="Z47" s="1890"/>
      <c r="AA47" s="726" t="s">
        <v>2601</v>
      </c>
      <c r="AB47" s="1041">
        <v>8245</v>
      </c>
      <c r="AC47" s="1013">
        <v>7.6476499999999996</v>
      </c>
      <c r="AD47" s="1041">
        <v>0</v>
      </c>
      <c r="AE47" s="1013">
        <v>0</v>
      </c>
      <c r="AF47" s="1041">
        <v>507</v>
      </c>
      <c r="AG47" s="1013">
        <v>0.179540112</v>
      </c>
      <c r="AH47" s="1041">
        <v>0</v>
      </c>
      <c r="AI47" s="1013">
        <v>0</v>
      </c>
      <c r="AJ47" s="1041">
        <v>0</v>
      </c>
      <c r="AK47" s="1013">
        <v>0</v>
      </c>
      <c r="AL47" s="1041">
        <v>0</v>
      </c>
      <c r="AM47" s="1013">
        <v>0</v>
      </c>
      <c r="AN47" s="1041">
        <v>8752</v>
      </c>
      <c r="AO47" s="1013">
        <v>7.8271901119999994</v>
      </c>
      <c r="AP47" s="1041">
        <v>0</v>
      </c>
      <c r="AQ47" s="1013">
        <v>0</v>
      </c>
      <c r="AR47" s="1041">
        <v>0</v>
      </c>
      <c r="AS47" s="1013">
        <v>0</v>
      </c>
      <c r="AT47" s="1041">
        <v>0</v>
      </c>
      <c r="AU47" s="1013">
        <v>0</v>
      </c>
      <c r="AV47" s="1041">
        <v>0</v>
      </c>
      <c r="AW47" s="1013">
        <v>0</v>
      </c>
      <c r="AX47" s="1890"/>
      <c r="AY47" s="726" t="s">
        <v>2601</v>
      </c>
      <c r="AZ47" s="1041">
        <v>0</v>
      </c>
      <c r="BA47" s="1013">
        <v>0</v>
      </c>
      <c r="BB47" s="1041">
        <v>0</v>
      </c>
      <c r="BC47" s="1013">
        <v>0</v>
      </c>
      <c r="BD47" s="1041">
        <v>8752</v>
      </c>
      <c r="BE47" s="1013">
        <v>7.8271901119999994</v>
      </c>
      <c r="BF47" s="1041">
        <v>0</v>
      </c>
      <c r="BG47" s="1041">
        <v>10486</v>
      </c>
      <c r="BH47" s="1041">
        <v>0</v>
      </c>
      <c r="BI47" s="1041">
        <v>10486</v>
      </c>
      <c r="BJ47" s="1041">
        <v>0</v>
      </c>
      <c r="BK47" s="1041">
        <v>0</v>
      </c>
      <c r="BL47" s="1013">
        <v>0</v>
      </c>
      <c r="BM47" s="1041">
        <v>0</v>
      </c>
      <c r="BN47" s="1041">
        <v>0</v>
      </c>
      <c r="BO47" s="1013">
        <v>0</v>
      </c>
      <c r="BP47" s="1041">
        <v>0</v>
      </c>
      <c r="BQ47" s="1041">
        <v>0</v>
      </c>
      <c r="BR47" s="1041">
        <v>0</v>
      </c>
      <c r="BS47" s="1013">
        <v>0</v>
      </c>
      <c r="BT47" s="1041">
        <v>0</v>
      </c>
      <c r="BU47" s="1041">
        <v>7</v>
      </c>
      <c r="BV47" s="1043">
        <v>0</v>
      </c>
    </row>
    <row r="48" spans="1:74" ht="9.9499999999999993" customHeight="1">
      <c r="A48" s="1890"/>
      <c r="B48" s="879" t="s">
        <v>1502</v>
      </c>
      <c r="C48" s="1019">
        <v>1123024</v>
      </c>
      <c r="D48" s="1012">
        <v>128998.53410916797</v>
      </c>
      <c r="E48" s="1019">
        <v>1190</v>
      </c>
      <c r="F48" s="1012">
        <v>197.14231108000001</v>
      </c>
      <c r="G48" s="1019">
        <v>1124214</v>
      </c>
      <c r="H48" s="1012">
        <v>129195.67642024797</v>
      </c>
      <c r="I48" s="1019">
        <v>2685012</v>
      </c>
      <c r="J48" s="1012">
        <v>27319.227209913999</v>
      </c>
      <c r="K48" s="1019">
        <v>276401</v>
      </c>
      <c r="L48" s="1012">
        <v>242.19652560099999</v>
      </c>
      <c r="M48" s="1019">
        <v>1009</v>
      </c>
      <c r="N48" s="1012">
        <v>2.25284240025</v>
      </c>
      <c r="O48" s="1019">
        <v>1383841</v>
      </c>
      <c r="P48" s="1012">
        <v>735.21463124499985</v>
      </c>
      <c r="Q48" s="1019">
        <v>58688</v>
      </c>
      <c r="R48" s="1012">
        <v>32.943760192649997</v>
      </c>
      <c r="S48" s="1019">
        <v>584918</v>
      </c>
      <c r="T48" s="1012">
        <v>401.43762969000011</v>
      </c>
      <c r="U48" s="1019">
        <v>85301</v>
      </c>
      <c r="V48" s="1012">
        <v>37.30264705135</v>
      </c>
      <c r="W48" s="1019">
        <v>2390158</v>
      </c>
      <c r="X48" s="1012">
        <v>1451.3480361802499</v>
      </c>
      <c r="Y48" s="1012">
        <v>5560.3252615090005</v>
      </c>
      <c r="Z48" s="1890"/>
      <c r="AA48" s="769" t="s">
        <v>1502</v>
      </c>
      <c r="AB48" s="1019">
        <v>22329489</v>
      </c>
      <c r="AC48" s="1012">
        <v>19535.585773600003</v>
      </c>
      <c r="AD48" s="1019">
        <v>858</v>
      </c>
      <c r="AE48" s="1012">
        <v>1.4160714219999999</v>
      </c>
      <c r="AF48" s="1019">
        <v>1809300</v>
      </c>
      <c r="AG48" s="1012">
        <v>564.91089246000001</v>
      </c>
      <c r="AH48" s="1019">
        <v>8679</v>
      </c>
      <c r="AI48" s="1012">
        <v>2.6997720269999999</v>
      </c>
      <c r="AJ48" s="1019">
        <v>1297118</v>
      </c>
      <c r="AK48" s="1012">
        <v>534.69913850200021</v>
      </c>
      <c r="AL48" s="1019">
        <v>23366</v>
      </c>
      <c r="AM48" s="1012">
        <v>5.3098802979999995</v>
      </c>
      <c r="AN48" s="1019">
        <v>25468810</v>
      </c>
      <c r="AO48" s="1012">
        <v>20644.621528309006</v>
      </c>
      <c r="AP48" s="1019">
        <v>292796</v>
      </c>
      <c r="AQ48" s="1012">
        <v>186.13633516100003</v>
      </c>
      <c r="AR48" s="1019">
        <v>97454</v>
      </c>
      <c r="AS48" s="1012">
        <v>19.264907059850007</v>
      </c>
      <c r="AT48" s="1019">
        <v>88654</v>
      </c>
      <c r="AU48" s="1012">
        <v>77.664760000000001</v>
      </c>
      <c r="AV48" s="1019">
        <v>82928</v>
      </c>
      <c r="AW48" s="1012">
        <v>62.726232075599995</v>
      </c>
      <c r="AX48" s="1890"/>
      <c r="AY48" s="769" t="s">
        <v>1502</v>
      </c>
      <c r="AZ48" s="1019">
        <v>52796</v>
      </c>
      <c r="BA48" s="1012">
        <v>16.451610768999998</v>
      </c>
      <c r="BB48" s="1019">
        <v>224378</v>
      </c>
      <c r="BC48" s="1012">
        <v>156.84260284459998</v>
      </c>
      <c r="BD48" s="1019">
        <v>28473596</v>
      </c>
      <c r="BE48" s="1012">
        <v>22458.213409554708</v>
      </c>
      <c r="BF48" s="1019">
        <v>1617932</v>
      </c>
      <c r="BG48" s="1019">
        <v>21920491</v>
      </c>
      <c r="BH48" s="1019">
        <v>731409</v>
      </c>
      <c r="BI48" s="1019">
        <v>24269832</v>
      </c>
      <c r="BJ48" s="1019">
        <v>3340886</v>
      </c>
      <c r="BK48" s="1019">
        <v>2395544</v>
      </c>
      <c r="BL48" s="1012">
        <v>6181.3088284390005</v>
      </c>
      <c r="BM48" s="1019">
        <v>944285</v>
      </c>
      <c r="BN48" s="1518">
        <v>346416036</v>
      </c>
      <c r="BO48" s="1012">
        <v>71193.642133769288</v>
      </c>
      <c r="BP48" s="1019">
        <v>82434407</v>
      </c>
      <c r="BQ48" s="1019">
        <v>12243</v>
      </c>
      <c r="BR48" s="1019">
        <v>10344946</v>
      </c>
      <c r="BS48" s="1012">
        <v>33871.959253934008</v>
      </c>
      <c r="BT48" s="1518">
        <v>11467189</v>
      </c>
      <c r="BU48" s="1019">
        <v>11824</v>
      </c>
      <c r="BV48" s="1042">
        <v>81911</v>
      </c>
    </row>
    <row r="49" spans="1:74" ht="9.9499999999999993" customHeight="1">
      <c r="A49" s="1890"/>
      <c r="B49" s="880" t="s">
        <v>1510</v>
      </c>
      <c r="C49" s="1041">
        <v>87734</v>
      </c>
      <c r="D49" s="1013">
        <v>12066.095599642</v>
      </c>
      <c r="E49" s="1041">
        <v>14</v>
      </c>
      <c r="F49" s="1013">
        <v>6.2450899999999997E-2</v>
      </c>
      <c r="G49" s="1041">
        <v>87748</v>
      </c>
      <c r="H49" s="1013">
        <v>12066.158050542001</v>
      </c>
      <c r="I49" s="1041">
        <v>833445</v>
      </c>
      <c r="J49" s="1013">
        <v>7967.7958232699993</v>
      </c>
      <c r="K49" s="1041">
        <v>18112</v>
      </c>
      <c r="L49" s="1013">
        <v>29.544130722000002</v>
      </c>
      <c r="M49" s="1041">
        <v>33</v>
      </c>
      <c r="N49" s="1013">
        <v>4.8843386000000003E-2</v>
      </c>
      <c r="O49" s="1041">
        <v>294855</v>
      </c>
      <c r="P49" s="1013">
        <v>133.78332467000001</v>
      </c>
      <c r="Q49" s="1041">
        <v>1356</v>
      </c>
      <c r="R49" s="1013">
        <v>0.60568410099999992</v>
      </c>
      <c r="S49" s="1041">
        <v>113406</v>
      </c>
      <c r="T49" s="1013">
        <v>78.026206934000001</v>
      </c>
      <c r="U49" s="1041">
        <v>6111</v>
      </c>
      <c r="V49" s="1013">
        <v>1.5707227669999999</v>
      </c>
      <c r="W49" s="1041">
        <v>433873</v>
      </c>
      <c r="X49" s="1013">
        <v>243.57891258000001</v>
      </c>
      <c r="Y49" s="1013">
        <v>797.75960695699996</v>
      </c>
      <c r="Z49" s="1890"/>
      <c r="AA49" s="726" t="s">
        <v>1510</v>
      </c>
      <c r="AB49" s="1041">
        <v>755961</v>
      </c>
      <c r="AC49" s="1013">
        <v>943.34454335999999</v>
      </c>
      <c r="AD49" s="1041">
        <v>347</v>
      </c>
      <c r="AE49" s="1013">
        <v>1.4954906459999999</v>
      </c>
      <c r="AF49" s="1041">
        <v>166693</v>
      </c>
      <c r="AG49" s="1013">
        <v>62.904511834000004</v>
      </c>
      <c r="AH49" s="1041">
        <v>762</v>
      </c>
      <c r="AI49" s="1013">
        <v>0.73818599019999998</v>
      </c>
      <c r="AJ49" s="1041">
        <v>127269</v>
      </c>
      <c r="AK49" s="1013">
        <v>59.574177302000002</v>
      </c>
      <c r="AL49" s="1041">
        <v>1952</v>
      </c>
      <c r="AM49" s="1013">
        <v>1.4886432519999999</v>
      </c>
      <c r="AN49" s="1041">
        <v>1052984</v>
      </c>
      <c r="AO49" s="1013">
        <v>1069.5455523841999</v>
      </c>
      <c r="AP49" s="1041">
        <v>0</v>
      </c>
      <c r="AQ49" s="1013">
        <v>0</v>
      </c>
      <c r="AR49" s="1041">
        <v>508</v>
      </c>
      <c r="AS49" s="1013">
        <v>0.12698246100000002</v>
      </c>
      <c r="AT49" s="1041">
        <v>8039</v>
      </c>
      <c r="AU49" s="1013">
        <v>17.657209999999999</v>
      </c>
      <c r="AV49" s="1041">
        <v>0</v>
      </c>
      <c r="AW49" s="1013">
        <v>0</v>
      </c>
      <c r="AX49" s="1890"/>
      <c r="AY49" s="726" t="s">
        <v>1510</v>
      </c>
      <c r="AZ49" s="1041">
        <v>0</v>
      </c>
      <c r="BA49" s="1013">
        <v>0</v>
      </c>
      <c r="BB49" s="1041">
        <v>8039</v>
      </c>
      <c r="BC49" s="1013">
        <v>17.657209999999999</v>
      </c>
      <c r="BD49" s="1041">
        <v>1495404</v>
      </c>
      <c r="BE49" s="1013">
        <v>1330.9086574251999</v>
      </c>
      <c r="BF49" s="1041">
        <v>130530</v>
      </c>
      <c r="BG49" s="1041">
        <v>356357</v>
      </c>
      <c r="BH49" s="1041">
        <v>117639</v>
      </c>
      <c r="BI49" s="1041">
        <v>604526</v>
      </c>
      <c r="BJ49" s="1041">
        <v>219501</v>
      </c>
      <c r="BK49" s="1041">
        <v>510424</v>
      </c>
      <c r="BL49" s="1013">
        <v>5203.1065443199996</v>
      </c>
      <c r="BM49" s="1041">
        <v>0</v>
      </c>
      <c r="BN49" s="1041">
        <v>0</v>
      </c>
      <c r="BO49" s="1013">
        <v>0</v>
      </c>
      <c r="BP49" s="1041">
        <v>0</v>
      </c>
      <c r="BQ49" s="1041">
        <v>0</v>
      </c>
      <c r="BR49" s="1041">
        <v>0</v>
      </c>
      <c r="BS49" s="1013">
        <v>0</v>
      </c>
      <c r="BT49" s="1041">
        <v>0</v>
      </c>
      <c r="BU49" s="1041">
        <v>141</v>
      </c>
      <c r="BV49" s="1043">
        <v>0</v>
      </c>
    </row>
    <row r="50" spans="1:74" ht="9.9499999999999993" customHeight="1">
      <c r="A50" s="1891"/>
      <c r="B50" s="1282" t="s">
        <v>659</v>
      </c>
      <c r="C50" s="1511">
        <v>1508117</v>
      </c>
      <c r="D50" s="1512">
        <v>198089.84774383396</v>
      </c>
      <c r="E50" s="1511">
        <v>39193</v>
      </c>
      <c r="F50" s="1512">
        <v>758.93584428000008</v>
      </c>
      <c r="G50" s="1511">
        <v>1547310</v>
      </c>
      <c r="H50" s="1512">
        <v>198848.78358811396</v>
      </c>
      <c r="I50" s="1511">
        <v>3709102</v>
      </c>
      <c r="J50" s="1512">
        <v>36805.614991474999</v>
      </c>
      <c r="K50" s="1511">
        <v>299079</v>
      </c>
      <c r="L50" s="1512">
        <v>276.59281992299998</v>
      </c>
      <c r="M50" s="1511">
        <v>1042</v>
      </c>
      <c r="N50" s="1512">
        <v>2.3016857862500002</v>
      </c>
      <c r="O50" s="1511">
        <v>1685505</v>
      </c>
      <c r="P50" s="1512">
        <v>874.07304315199985</v>
      </c>
      <c r="Q50" s="1511">
        <v>60065</v>
      </c>
      <c r="R50" s="1512">
        <v>33.561195093649999</v>
      </c>
      <c r="S50" s="1511">
        <v>701454</v>
      </c>
      <c r="T50" s="1512">
        <v>482.96549682400013</v>
      </c>
      <c r="U50" s="1511">
        <v>91412</v>
      </c>
      <c r="V50" s="1512">
        <v>38.87336981835</v>
      </c>
      <c r="W50" s="1511">
        <v>2838557</v>
      </c>
      <c r="X50" s="1512">
        <v>1708.3676105972499</v>
      </c>
      <c r="Y50" s="1512">
        <v>6413.9504930780004</v>
      </c>
      <c r="Z50" s="1891"/>
      <c r="AA50" s="1030" t="s">
        <v>659</v>
      </c>
      <c r="AB50" s="1511">
        <v>23795911</v>
      </c>
      <c r="AC50" s="1512">
        <v>21176.144691160003</v>
      </c>
      <c r="AD50" s="1511">
        <v>1205</v>
      </c>
      <c r="AE50" s="1512">
        <v>2.9115620679999998</v>
      </c>
      <c r="AF50" s="1511">
        <v>2046777</v>
      </c>
      <c r="AG50" s="1512">
        <v>654.32850171500002</v>
      </c>
      <c r="AH50" s="1511">
        <v>9441</v>
      </c>
      <c r="AI50" s="1512">
        <v>3.4379580171999997</v>
      </c>
      <c r="AJ50" s="1511">
        <v>1460946</v>
      </c>
      <c r="AK50" s="1512">
        <v>608.38103590400021</v>
      </c>
      <c r="AL50" s="1511">
        <v>25318</v>
      </c>
      <c r="AM50" s="1512">
        <v>6.7985235499999996</v>
      </c>
      <c r="AN50" s="1511">
        <v>27339598</v>
      </c>
      <c r="AO50" s="1512">
        <v>22452.0022724142</v>
      </c>
      <c r="AP50" s="1511">
        <v>296549</v>
      </c>
      <c r="AQ50" s="1512">
        <v>191.52176767200004</v>
      </c>
      <c r="AR50" s="1511">
        <v>97962</v>
      </c>
      <c r="AS50" s="1512">
        <v>19.391889520850008</v>
      </c>
      <c r="AT50" s="1511">
        <v>96693</v>
      </c>
      <c r="AU50" s="1512">
        <v>95.321969999999993</v>
      </c>
      <c r="AV50" s="1511">
        <v>82928</v>
      </c>
      <c r="AW50" s="1512">
        <v>62.726232075599995</v>
      </c>
      <c r="AX50" s="1891"/>
      <c r="AY50" s="1030" t="s">
        <v>659</v>
      </c>
      <c r="AZ50" s="1511">
        <v>52796</v>
      </c>
      <c r="BA50" s="1512">
        <v>16.451610768999998</v>
      </c>
      <c r="BB50" s="1511">
        <v>232417</v>
      </c>
      <c r="BC50" s="1512">
        <v>174.4998128446</v>
      </c>
      <c r="BD50" s="1511">
        <v>30805083</v>
      </c>
      <c r="BE50" s="1512">
        <v>24545.783353048901</v>
      </c>
      <c r="BF50" s="1511">
        <v>1758884</v>
      </c>
      <c r="BG50" s="1511">
        <v>23041234</v>
      </c>
      <c r="BH50" s="1511">
        <v>873977</v>
      </c>
      <c r="BI50" s="1511">
        <v>25674095</v>
      </c>
      <c r="BJ50" s="1511">
        <v>3560387</v>
      </c>
      <c r="BK50" s="1511">
        <v>2905968</v>
      </c>
      <c r="BL50" s="1512">
        <v>11384.415372759</v>
      </c>
      <c r="BM50" s="1511">
        <v>1086671</v>
      </c>
      <c r="BN50" s="1511">
        <v>346701611</v>
      </c>
      <c r="BO50" s="1512">
        <v>71246.853614469292</v>
      </c>
      <c r="BP50" s="1511">
        <v>98131637</v>
      </c>
      <c r="BQ50" s="1511">
        <v>12643</v>
      </c>
      <c r="BR50" s="1511">
        <v>10561049</v>
      </c>
      <c r="BS50" s="1512">
        <v>34348.952381334006</v>
      </c>
      <c r="BT50" s="1511">
        <v>11789053</v>
      </c>
      <c r="BU50" s="1511">
        <v>12270</v>
      </c>
      <c r="BV50" s="1519">
        <v>81911</v>
      </c>
    </row>
    <row r="51" spans="1:74">
      <c r="A51" s="731"/>
      <c r="B51" s="731" t="s">
        <v>1501</v>
      </c>
      <c r="C51" s="731" t="s">
        <v>2602</v>
      </c>
      <c r="D51" s="731"/>
      <c r="E51" s="731"/>
      <c r="F51" s="731"/>
      <c r="G51" s="731"/>
      <c r="H51" s="731"/>
      <c r="I51" s="731"/>
      <c r="J51" s="731"/>
      <c r="K51" s="731"/>
      <c r="L51" s="731"/>
      <c r="M51" s="731" t="s">
        <v>31</v>
      </c>
      <c r="N51" s="731" t="s">
        <v>2042</v>
      </c>
      <c r="O51" s="731"/>
      <c r="P51" s="731"/>
      <c r="Q51" s="731"/>
      <c r="R51" s="731"/>
      <c r="S51" s="731"/>
      <c r="T51" s="731"/>
      <c r="U51" s="731"/>
      <c r="V51" s="731"/>
      <c r="W51" s="731"/>
      <c r="X51" s="731"/>
      <c r="AA51" s="1959" t="s">
        <v>1640</v>
      </c>
      <c r="AB51" s="1921"/>
      <c r="AC51" s="1921"/>
      <c r="AD51" s="1921"/>
      <c r="AE51" s="1921"/>
      <c r="AF51" s="1921"/>
      <c r="AG51" s="1921"/>
      <c r="AH51" s="731"/>
      <c r="AI51" s="731"/>
      <c r="AJ51" s="731"/>
      <c r="AK51" s="731"/>
      <c r="AL51" s="731"/>
      <c r="AM51" s="731"/>
      <c r="AN51" s="731"/>
      <c r="AO51" s="731"/>
      <c r="AP51" s="731"/>
      <c r="AQ51" s="731"/>
      <c r="AR51" s="731"/>
      <c r="AS51" s="731"/>
      <c r="AT51" s="731"/>
      <c r="AU51" s="731"/>
      <c r="AV51" s="731"/>
      <c r="AW51" s="731"/>
      <c r="AY51" s="731" t="s">
        <v>1641</v>
      </c>
      <c r="AZ51" s="731"/>
      <c r="BA51" s="731"/>
      <c r="BB51" s="731"/>
      <c r="BC51" s="731"/>
      <c r="BD51" s="731"/>
      <c r="BE51" s="731"/>
      <c r="BF51" s="731"/>
      <c r="BG51" s="731"/>
      <c r="BH51" s="731"/>
      <c r="BI51" s="731"/>
      <c r="BJ51" s="731"/>
      <c r="BK51" s="731"/>
      <c r="BL51" s="731"/>
      <c r="BM51" s="731"/>
      <c r="BN51" s="731"/>
      <c r="BO51" s="731"/>
      <c r="BP51" s="731"/>
      <c r="BQ51" s="731"/>
      <c r="BR51" s="731"/>
      <c r="BS51" s="731"/>
      <c r="BT51" s="731"/>
      <c r="BU51" s="731"/>
      <c r="BV51" s="731"/>
    </row>
    <row r="52" spans="1:74">
      <c r="C52" s="731"/>
      <c r="G52" s="731"/>
      <c r="H52" s="726"/>
      <c r="N52" s="731" t="s">
        <v>2041</v>
      </c>
      <c r="AB52" s="731"/>
      <c r="AY52" s="731"/>
      <c r="BD52" s="725" t="s">
        <v>834</v>
      </c>
      <c r="BE52" s="729"/>
      <c r="BJ52" s="729"/>
    </row>
  </sheetData>
  <mergeCells count="128">
    <mergeCell ref="A26:A30"/>
    <mergeCell ref="Z26:Z30"/>
    <mergeCell ref="AX26:AX30"/>
    <mergeCell ref="A41:A45"/>
    <mergeCell ref="Z41:Z45"/>
    <mergeCell ref="AX41:AX45"/>
    <mergeCell ref="A31:A35"/>
    <mergeCell ref="Z31:Z35"/>
    <mergeCell ref="AX31:AX35"/>
    <mergeCell ref="A36:A40"/>
    <mergeCell ref="Z36:Z40"/>
    <mergeCell ref="AX36:AX40"/>
    <mergeCell ref="AX9:AY9"/>
    <mergeCell ref="A10:A14"/>
    <mergeCell ref="Z10:Z14"/>
    <mergeCell ref="AX10:AX14"/>
    <mergeCell ref="A21:A25"/>
    <mergeCell ref="Z21:Z25"/>
    <mergeCell ref="AX21:AX25"/>
    <mergeCell ref="A16:A20"/>
    <mergeCell ref="Z16:Z20"/>
    <mergeCell ref="AX16:AX20"/>
    <mergeCell ref="A15:B15"/>
    <mergeCell ref="AX15:AY15"/>
    <mergeCell ref="Z15:AA15"/>
    <mergeCell ref="AA51:AG51"/>
    <mergeCell ref="I8:J8"/>
    <mergeCell ref="K8:L8"/>
    <mergeCell ref="O8:P8"/>
    <mergeCell ref="A3:B8"/>
    <mergeCell ref="C3:H4"/>
    <mergeCell ref="I3:J6"/>
    <mergeCell ref="K3:Y3"/>
    <mergeCell ref="M8:N8"/>
    <mergeCell ref="S8:T8"/>
    <mergeCell ref="U8:V8"/>
    <mergeCell ref="Q8:R8"/>
    <mergeCell ref="C5:D6"/>
    <mergeCell ref="E5:F6"/>
    <mergeCell ref="S6:T6"/>
    <mergeCell ref="K5:N5"/>
    <mergeCell ref="O5:R5"/>
    <mergeCell ref="S5:V5"/>
    <mergeCell ref="C8:D8"/>
    <mergeCell ref="E8:F8"/>
    <mergeCell ref="W5:X6"/>
    <mergeCell ref="G5:H6"/>
    <mergeCell ref="A9:B9"/>
    <mergeCell ref="Z9:AA9"/>
    <mergeCell ref="AH8:AI8"/>
    <mergeCell ref="AF8:AG8"/>
    <mergeCell ref="AD8:AE8"/>
    <mergeCell ref="AB8:AC8"/>
    <mergeCell ref="AT6:AU6"/>
    <mergeCell ref="AZ4:BC5"/>
    <mergeCell ref="AZ8:BA8"/>
    <mergeCell ref="AT8:AU8"/>
    <mergeCell ref="AV8:AW8"/>
    <mergeCell ref="AJ8:AK8"/>
    <mergeCell ref="AL8:AM8"/>
    <mergeCell ref="AN8:AO8"/>
    <mergeCell ref="AP8:AQ8"/>
    <mergeCell ref="AR8:AS8"/>
    <mergeCell ref="AX3:AY8"/>
    <mergeCell ref="BB8:BC8"/>
    <mergeCell ref="AT4:AW5"/>
    <mergeCell ref="AH6:AI6"/>
    <mergeCell ref="AB3:AW3"/>
    <mergeCell ref="AZ6:BA6"/>
    <mergeCell ref="AV6:AW6"/>
    <mergeCell ref="BR8:BS8"/>
    <mergeCell ref="BN8:BO8"/>
    <mergeCell ref="BM3:BP4"/>
    <mergeCell ref="BQ3:BT4"/>
    <mergeCell ref="BQ5:BQ6"/>
    <mergeCell ref="BR5:BS6"/>
    <mergeCell ref="BH5:BH6"/>
    <mergeCell ref="BI5:BI6"/>
    <mergeCell ref="BB6:BC6"/>
    <mergeCell ref="BD8:BE8"/>
    <mergeCell ref="BF5:BF6"/>
    <mergeCell ref="BF3:BI4"/>
    <mergeCell ref="BG1:BO1"/>
    <mergeCell ref="BM5:BM6"/>
    <mergeCell ref="BN5:BO6"/>
    <mergeCell ref="BJ5:BJ6"/>
    <mergeCell ref="AZ3:BE3"/>
    <mergeCell ref="BD4:BE6"/>
    <mergeCell ref="AB5:AE5"/>
    <mergeCell ref="AR6:AS6"/>
    <mergeCell ref="AP4:AS5"/>
    <mergeCell ref="AF6:AG6"/>
    <mergeCell ref="AU2:AW2"/>
    <mergeCell ref="AH1:AR1"/>
    <mergeCell ref="K4:Y4"/>
    <mergeCell ref="AB4:AO4"/>
    <mergeCell ref="V1:Y1"/>
    <mergeCell ref="K6:L6"/>
    <mergeCell ref="AP6:AQ6"/>
    <mergeCell ref="U6:V6"/>
    <mergeCell ref="M6:N6"/>
    <mergeCell ref="O6:P6"/>
    <mergeCell ref="Y5:Y6"/>
    <mergeCell ref="W2:Y2"/>
    <mergeCell ref="A46:A50"/>
    <mergeCell ref="Z46:Z50"/>
    <mergeCell ref="AX46:AX50"/>
    <mergeCell ref="BT2:BV2"/>
    <mergeCell ref="BS1:BV1"/>
    <mergeCell ref="H1:S1"/>
    <mergeCell ref="BV3:BV6"/>
    <mergeCell ref="BK5:BL6"/>
    <mergeCell ref="BG5:BG6"/>
    <mergeCell ref="AT1:AW1"/>
    <mergeCell ref="AJ5:AM5"/>
    <mergeCell ref="BP5:BP6"/>
    <mergeCell ref="AD6:AE6"/>
    <mergeCell ref="AN5:AO6"/>
    <mergeCell ref="Z3:AA8"/>
    <mergeCell ref="W8:X8"/>
    <mergeCell ref="AL6:AM6"/>
    <mergeCell ref="AJ6:AK6"/>
    <mergeCell ref="Q6:R6"/>
    <mergeCell ref="AF5:AI5"/>
    <mergeCell ref="AB6:AC6"/>
    <mergeCell ref="BT5:BT6"/>
    <mergeCell ref="BJ3:BL4"/>
    <mergeCell ref="BU3:BU6"/>
  </mergeCells>
  <pageMargins left="0.511811023622047" right="0.511811023622047" top="0.511811023622047" bottom="0.511811023622047" header="0.31496062992126" footer="0.31496062992126"/>
  <pageSetup paperSize="448" firstPageNumber="22" orientation="portrait" useFirstPageNumber="1" r:id="rId1"/>
  <headerFooter alignWithMargins="0">
    <oddFooter>&amp;C&amp;"Times New Roman,Regular"&amp;8&amp;P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V171"/>
  <sheetViews>
    <sheetView zoomScale="160" zoomScaleNormal="160" workbookViewId="0">
      <pane xSplit="1" ySplit="5" topLeftCell="M44" activePane="bottomRight" state="frozen"/>
      <selection activeCell="F85" sqref="F85"/>
      <selection pane="topRight" activeCell="F85" sqref="F85"/>
      <selection pane="bottomLeft" activeCell="F85" sqref="F85"/>
      <selection pane="bottomRight" activeCell="V48" sqref="V48"/>
    </sheetView>
  </sheetViews>
  <sheetFormatPr defaultColWidth="9.140625" defaultRowHeight="11.25"/>
  <cols>
    <col min="1" max="1" width="10.28515625" style="1472" customWidth="1"/>
    <col min="2" max="2" width="10.85546875" style="1472" customWidth="1"/>
    <col min="3" max="3" width="11.140625" style="1472" customWidth="1"/>
    <col min="4" max="4" width="11" style="1472" customWidth="1"/>
    <col min="5" max="5" width="11.28515625" style="1472" customWidth="1"/>
    <col min="6" max="6" width="11" style="1472" customWidth="1"/>
    <col min="7" max="7" width="12.42578125" style="1472" customWidth="1"/>
    <col min="8" max="8" width="10.42578125" style="1472" customWidth="1"/>
    <col min="9" max="9" width="10.140625" style="1472" customWidth="1"/>
    <col min="10" max="10" width="10.7109375" style="1472" customWidth="1"/>
    <col min="11" max="11" width="11.85546875" style="1472" customWidth="1"/>
    <col min="12" max="12" width="10.5703125" style="1472" customWidth="1"/>
    <col min="13" max="13" width="12.140625" style="1472" customWidth="1"/>
    <col min="14" max="14" width="12.28515625" style="1472" customWidth="1"/>
    <col min="15" max="15" width="8.85546875" style="1472" customWidth="1"/>
    <col min="16" max="16" width="7.7109375" style="1472" customWidth="1"/>
    <col min="17" max="17" width="8.5703125" style="1472" customWidth="1"/>
    <col min="18" max="18" width="8.7109375" style="1472" customWidth="1"/>
    <col min="19" max="19" width="9.140625" style="1472"/>
    <col min="20" max="20" width="9.28515625" style="1472" customWidth="1"/>
    <col min="21" max="21" width="13.7109375" style="1472" customWidth="1"/>
    <col min="22" max="22" width="12.28515625" style="1472" customWidth="1"/>
    <col min="23" max="16384" width="9.140625" style="1472"/>
  </cols>
  <sheetData>
    <row r="1" spans="1:22" s="215" customFormat="1" ht="15" customHeight="1">
      <c r="A1" s="1484"/>
      <c r="B1" s="1484"/>
      <c r="C1" s="1484"/>
      <c r="D1" s="1484"/>
      <c r="E1" s="1484"/>
      <c r="F1" s="1985" t="s">
        <v>144</v>
      </c>
      <c r="G1" s="1985"/>
      <c r="H1" s="1984" t="s">
        <v>143</v>
      </c>
      <c r="I1" s="1984"/>
      <c r="J1" s="214"/>
      <c r="K1" s="214"/>
      <c r="L1" s="1985" t="s">
        <v>601</v>
      </c>
      <c r="M1" s="1985"/>
      <c r="N1" s="1985"/>
      <c r="O1" s="1988" t="s">
        <v>265</v>
      </c>
      <c r="P1" s="1988"/>
      <c r="Q1" s="1988"/>
      <c r="R1" s="1988"/>
      <c r="S1" s="1988"/>
      <c r="T1" s="1985" t="s">
        <v>602</v>
      </c>
      <c r="U1" s="1985"/>
      <c r="V1" s="1985"/>
    </row>
    <row r="2" spans="1:22" s="218" customFormat="1" ht="11.25" customHeight="1">
      <c r="A2" s="216"/>
      <c r="B2" s="216"/>
      <c r="C2" s="216"/>
      <c r="D2" s="217"/>
      <c r="F2" s="1469"/>
      <c r="H2" s="217"/>
      <c r="I2" s="217"/>
      <c r="J2" s="217"/>
      <c r="K2" s="217"/>
      <c r="L2" s="1986" t="s">
        <v>25</v>
      </c>
      <c r="M2" s="1986"/>
      <c r="N2" s="1986"/>
      <c r="O2" s="217"/>
      <c r="P2" s="217"/>
      <c r="Q2" s="219"/>
      <c r="R2" s="219"/>
      <c r="S2" s="219"/>
      <c r="T2" s="219"/>
      <c r="U2" s="1986" t="s">
        <v>25</v>
      </c>
      <c r="V2" s="1986"/>
    </row>
    <row r="3" spans="1:22" s="218" customFormat="1" ht="12.75" customHeight="1">
      <c r="A3" s="1978" t="s">
        <v>663</v>
      </c>
      <c r="B3" s="1990" t="s">
        <v>668</v>
      </c>
      <c r="C3" s="1991"/>
      <c r="D3" s="1992"/>
      <c r="E3" s="1989" t="s">
        <v>489</v>
      </c>
      <c r="F3" s="1989"/>
      <c r="G3" s="1989"/>
      <c r="H3" s="1989" t="s">
        <v>1183</v>
      </c>
      <c r="I3" s="1989"/>
      <c r="J3" s="1989"/>
      <c r="K3" s="1987" t="s">
        <v>1184</v>
      </c>
      <c r="L3" s="1987"/>
      <c r="M3" s="1987"/>
      <c r="N3" s="1996" t="s">
        <v>1207</v>
      </c>
      <c r="O3" s="1981" t="s">
        <v>663</v>
      </c>
      <c r="P3" s="1998" t="s">
        <v>1187</v>
      </c>
      <c r="Q3" s="1990" t="s">
        <v>1186</v>
      </c>
      <c r="R3" s="1991"/>
      <c r="S3" s="1991"/>
      <c r="T3" s="1991"/>
      <c r="U3" s="1992"/>
      <c r="V3" s="1993" t="s">
        <v>1672</v>
      </c>
    </row>
    <row r="4" spans="1:22" s="220" customFormat="1" ht="29.25" customHeight="1">
      <c r="A4" s="1979"/>
      <c r="B4" s="1481" t="s">
        <v>1204</v>
      </c>
      <c r="C4" s="1481" t="s">
        <v>1205</v>
      </c>
      <c r="D4" s="1481" t="s">
        <v>1206</v>
      </c>
      <c r="E4" s="1481" t="s">
        <v>669</v>
      </c>
      <c r="F4" s="1481" t="s">
        <v>670</v>
      </c>
      <c r="G4" s="1481" t="s">
        <v>840</v>
      </c>
      <c r="H4" s="1481" t="s">
        <v>669</v>
      </c>
      <c r="I4" s="1481" t="s">
        <v>670</v>
      </c>
      <c r="J4" s="1481" t="s">
        <v>841</v>
      </c>
      <c r="K4" s="1481" t="s">
        <v>671</v>
      </c>
      <c r="L4" s="1481" t="s">
        <v>660</v>
      </c>
      <c r="M4" s="1481" t="s">
        <v>845</v>
      </c>
      <c r="N4" s="1997"/>
      <c r="O4" s="1982"/>
      <c r="P4" s="1999"/>
      <c r="Q4" s="1482" t="s">
        <v>1188</v>
      </c>
      <c r="R4" s="1482" t="s">
        <v>1011</v>
      </c>
      <c r="S4" s="1482" t="s">
        <v>1012</v>
      </c>
      <c r="T4" s="1482" t="s">
        <v>1013</v>
      </c>
      <c r="U4" s="1482" t="s">
        <v>847</v>
      </c>
      <c r="V4" s="1994"/>
    </row>
    <row r="5" spans="1:22" s="284" customFormat="1" ht="17.25" customHeight="1">
      <c r="A5" s="1980"/>
      <c r="B5" s="420">
        <v>1</v>
      </c>
      <c r="C5" s="420">
        <v>2</v>
      </c>
      <c r="D5" s="420" t="s">
        <v>844</v>
      </c>
      <c r="E5" s="420">
        <v>4</v>
      </c>
      <c r="F5" s="420">
        <v>5</v>
      </c>
      <c r="G5" s="420" t="s">
        <v>843</v>
      </c>
      <c r="H5" s="420">
        <v>7</v>
      </c>
      <c r="I5" s="420">
        <v>8</v>
      </c>
      <c r="J5" s="420" t="s">
        <v>842</v>
      </c>
      <c r="K5" s="420">
        <v>10</v>
      </c>
      <c r="L5" s="420">
        <v>11</v>
      </c>
      <c r="M5" s="420" t="s">
        <v>846</v>
      </c>
      <c r="N5" s="420" t="s">
        <v>264</v>
      </c>
      <c r="O5" s="1983"/>
      <c r="P5" s="1470">
        <v>14</v>
      </c>
      <c r="Q5" s="1470">
        <v>15</v>
      </c>
      <c r="R5" s="1470">
        <v>16</v>
      </c>
      <c r="S5" s="1470">
        <v>17</v>
      </c>
      <c r="T5" s="1470">
        <v>18</v>
      </c>
      <c r="U5" s="1471" t="s">
        <v>1185</v>
      </c>
      <c r="V5" s="1995"/>
    </row>
    <row r="6" spans="1:22" s="242" customFormat="1" ht="12.2" customHeight="1">
      <c r="A6" s="1327" t="s">
        <v>83</v>
      </c>
      <c r="B6" s="324">
        <v>112345.1</v>
      </c>
      <c r="C6" s="294">
        <v>147983</v>
      </c>
      <c r="D6" s="294">
        <v>-35637.9</v>
      </c>
      <c r="E6" s="324">
        <v>15453.4</v>
      </c>
      <c r="F6" s="324">
        <v>25710.799999999999</v>
      </c>
      <c r="G6" s="324">
        <v>-10257.400000000001</v>
      </c>
      <c r="H6" s="324">
        <v>551.70000000000005</v>
      </c>
      <c r="I6" s="294">
        <v>10566.400000000001</v>
      </c>
      <c r="J6" s="324">
        <v>-10014.700000000001</v>
      </c>
      <c r="K6" s="324">
        <v>864.8</v>
      </c>
      <c r="L6" s="324">
        <v>78001.299999999988</v>
      </c>
      <c r="M6" s="324">
        <v>78866.100000000006</v>
      </c>
      <c r="N6" s="293">
        <v>22956.1</v>
      </c>
      <c r="O6" s="1327" t="s">
        <v>83</v>
      </c>
      <c r="P6" s="324">
        <v>3373.5999999999995</v>
      </c>
      <c r="Q6" s="324">
        <v>6316.4000000000005</v>
      </c>
      <c r="R6" s="324">
        <v>-2029.5</v>
      </c>
      <c r="S6" s="324">
        <v>-820.69999999999936</v>
      </c>
      <c r="T6" s="324">
        <v>-24814.3</v>
      </c>
      <c r="U6" s="293">
        <f t="shared" ref="U6" si="0">Q6+R6+S6+T6</f>
        <v>-21348.1</v>
      </c>
      <c r="V6" s="294">
        <f t="shared" ref="V6" si="1">-(N6+P6+U6)</f>
        <v>-4981.5999999999985</v>
      </c>
    </row>
    <row r="7" spans="1:22" s="243" customFormat="1" ht="12.2" customHeight="1">
      <c r="A7" s="1328" t="s">
        <v>225</v>
      </c>
      <c r="B7" s="361">
        <v>164159.20000000001</v>
      </c>
      <c r="C7" s="361">
        <v>216341.09999999998</v>
      </c>
      <c r="D7" s="361">
        <v>-52181.899999999994</v>
      </c>
      <c r="E7" s="361">
        <v>18292.900000000001</v>
      </c>
      <c r="F7" s="361">
        <v>35500.6</v>
      </c>
      <c r="G7" s="361">
        <v>-17207.7</v>
      </c>
      <c r="H7" s="361">
        <v>871.7</v>
      </c>
      <c r="I7" s="361">
        <v>11267.1</v>
      </c>
      <c r="J7" s="361">
        <v>-10395.4</v>
      </c>
      <c r="K7" s="361">
        <v>1047.0999999999999</v>
      </c>
      <c r="L7" s="361">
        <v>84013.2</v>
      </c>
      <c r="M7" s="361">
        <v>85060.299999999988</v>
      </c>
      <c r="N7" s="361">
        <v>5275.3000000000011</v>
      </c>
      <c r="O7" s="1328" t="s">
        <v>225</v>
      </c>
      <c r="P7" s="361">
        <v>4138.1000000000004</v>
      </c>
      <c r="Q7" s="361">
        <v>5585.6</v>
      </c>
      <c r="R7" s="361">
        <v>-6109.2000000000007</v>
      </c>
      <c r="S7" s="361">
        <v>-9589.7999999999993</v>
      </c>
      <c r="T7" s="361">
        <v>5351</v>
      </c>
      <c r="U7" s="361">
        <v>-4762.3999999999996</v>
      </c>
      <c r="V7" s="361">
        <v>-4651.0000000000018</v>
      </c>
    </row>
    <row r="8" spans="1:22" s="211" customFormat="1" ht="12.2" customHeight="1">
      <c r="A8" s="1327" t="s">
        <v>972</v>
      </c>
      <c r="B8" s="294">
        <v>193375.5</v>
      </c>
      <c r="C8" s="294">
        <v>253042.2</v>
      </c>
      <c r="D8" s="294">
        <v>-59666.7</v>
      </c>
      <c r="E8" s="294">
        <v>19370.400000000001</v>
      </c>
      <c r="F8" s="294">
        <v>41880.299999999996</v>
      </c>
      <c r="G8" s="294">
        <v>-22509.899999999998</v>
      </c>
      <c r="H8" s="294">
        <v>1523.3000000000002</v>
      </c>
      <c r="I8" s="294">
        <v>13242.2</v>
      </c>
      <c r="J8" s="294">
        <v>-11718.9</v>
      </c>
      <c r="K8" s="294">
        <v>829.19999999999993</v>
      </c>
      <c r="L8" s="294">
        <v>101982.6</v>
      </c>
      <c r="M8" s="294">
        <v>102811.8</v>
      </c>
      <c r="N8" s="294">
        <v>8916.2999999999993</v>
      </c>
      <c r="O8" s="1327" t="s">
        <v>972</v>
      </c>
      <c r="P8" s="294">
        <v>3678.5</v>
      </c>
      <c r="Q8" s="294">
        <v>9088.2000000000007</v>
      </c>
      <c r="R8" s="294">
        <v>4142.6000000000004</v>
      </c>
      <c r="S8" s="294">
        <v>-17391</v>
      </c>
      <c r="T8" s="294">
        <v>-2324.4999999999991</v>
      </c>
      <c r="U8" s="294">
        <v>-6484.699999999998</v>
      </c>
      <c r="V8" s="294">
        <v>-6110.1000000000022</v>
      </c>
    </row>
    <row r="9" spans="1:22" s="211" customFormat="1" ht="12.2" customHeight="1">
      <c r="A9" s="1328" t="s">
        <v>1367</v>
      </c>
      <c r="B9" s="361">
        <v>211643</v>
      </c>
      <c r="C9" s="361">
        <v>272427.10000000003</v>
      </c>
      <c r="D9" s="361">
        <v>-60784.099999999991</v>
      </c>
      <c r="E9" s="361">
        <v>22601.1</v>
      </c>
      <c r="F9" s="361">
        <v>48387.100000000006</v>
      </c>
      <c r="G9" s="361">
        <v>-25786.000000000004</v>
      </c>
      <c r="H9" s="361">
        <v>965.00000000000011</v>
      </c>
      <c r="I9" s="361">
        <v>19441.600000000002</v>
      </c>
      <c r="J9" s="361">
        <v>-18476.600000000002</v>
      </c>
      <c r="K9" s="361">
        <v>516.6</v>
      </c>
      <c r="L9" s="361">
        <v>119520.40000000001</v>
      </c>
      <c r="M9" s="361">
        <v>120037</v>
      </c>
      <c r="N9" s="361">
        <v>14990.300000000003</v>
      </c>
      <c r="O9" s="1328" t="s">
        <v>1367</v>
      </c>
      <c r="P9" s="361">
        <v>4690.7999999999993</v>
      </c>
      <c r="Q9" s="361">
        <v>-13776.300000000001</v>
      </c>
      <c r="R9" s="361">
        <v>742.90000000000009</v>
      </c>
      <c r="S9" s="361">
        <v>-15951.5</v>
      </c>
      <c r="T9" s="361">
        <v>41316</v>
      </c>
      <c r="U9" s="361">
        <v>12331.100000000002</v>
      </c>
      <c r="V9" s="361">
        <v>-7350.0000000000018</v>
      </c>
    </row>
    <row r="10" spans="1:22" s="211" customFormat="1" ht="12.2" customHeight="1">
      <c r="A10" s="1327" t="s">
        <v>1347</v>
      </c>
      <c r="B10" s="294">
        <v>230946.3</v>
      </c>
      <c r="C10" s="294">
        <v>286835.69999999995</v>
      </c>
      <c r="D10" s="294">
        <v>-55889.4</v>
      </c>
      <c r="E10" s="294">
        <v>24212.899999999998</v>
      </c>
      <c r="F10" s="294">
        <v>56129.399999999994</v>
      </c>
      <c r="G10" s="294">
        <v>-31916.5</v>
      </c>
      <c r="H10" s="294">
        <v>1011.5000000000001</v>
      </c>
      <c r="I10" s="294">
        <v>21168.1</v>
      </c>
      <c r="J10" s="294">
        <v>-20156.599999999999</v>
      </c>
      <c r="K10" s="294">
        <v>615.20000000000005</v>
      </c>
      <c r="L10" s="294">
        <v>115425</v>
      </c>
      <c r="M10" s="294">
        <v>116040.2</v>
      </c>
      <c r="N10" s="294">
        <v>8077.7000000000044</v>
      </c>
      <c r="O10" s="1327" t="s">
        <v>1347</v>
      </c>
      <c r="P10" s="294">
        <v>5009.5</v>
      </c>
      <c r="Q10" s="294">
        <v>-11562.9</v>
      </c>
      <c r="R10" s="294">
        <v>-3019.8999999999996</v>
      </c>
      <c r="S10" s="294">
        <v>-17019.400000000001</v>
      </c>
      <c r="T10" s="294">
        <v>45942.100000000006</v>
      </c>
      <c r="U10" s="294">
        <v>14339.899999999998</v>
      </c>
      <c r="V10" s="294">
        <v>1252.6999999999916</v>
      </c>
    </row>
    <row r="11" spans="1:22" s="243" customFormat="1" ht="12.2" customHeight="1">
      <c r="A11" s="1330" t="s">
        <v>1406</v>
      </c>
      <c r="B11" s="416">
        <v>238483.7</v>
      </c>
      <c r="C11" s="416">
        <v>284654.7</v>
      </c>
      <c r="D11" s="416">
        <v>-46170.999999999993</v>
      </c>
      <c r="E11" s="416">
        <v>23956.9</v>
      </c>
      <c r="F11" s="416">
        <v>64556.600000000006</v>
      </c>
      <c r="G11" s="416">
        <v>-40599.699999999997</v>
      </c>
      <c r="H11" s="416">
        <v>582.6</v>
      </c>
      <c r="I11" s="416">
        <v>22769.799999999996</v>
      </c>
      <c r="J11" s="416">
        <v>-22187.200000000001</v>
      </c>
      <c r="K11" s="416">
        <v>594.6</v>
      </c>
      <c r="L11" s="416">
        <v>122888.8</v>
      </c>
      <c r="M11" s="416">
        <v>123483.4</v>
      </c>
      <c r="N11" s="416">
        <v>14525.500000000015</v>
      </c>
      <c r="O11" s="1330" t="s">
        <v>1406</v>
      </c>
      <c r="P11" s="416">
        <v>4024.8999999999996</v>
      </c>
      <c r="Q11" s="416">
        <v>-14216.999999999998</v>
      </c>
      <c r="R11" s="416">
        <v>-4157.5</v>
      </c>
      <c r="S11" s="416">
        <v>-3579.9999999999991</v>
      </c>
      <c r="T11" s="416">
        <v>33041</v>
      </c>
      <c r="U11" s="416">
        <v>11086.5</v>
      </c>
      <c r="V11" s="416">
        <v>-7463.9000000000133</v>
      </c>
    </row>
    <row r="12" spans="1:22" s="211" customFormat="1" ht="12.2" customHeight="1">
      <c r="A12" s="1329" t="s">
        <v>1560</v>
      </c>
      <c r="B12" s="426">
        <f t="shared" ref="B12:N12" si="2">SUM(B13:B16)</f>
        <v>261822.6</v>
      </c>
      <c r="C12" s="426">
        <f t="shared" si="2"/>
        <v>303951.89999999997</v>
      </c>
      <c r="D12" s="426">
        <f t="shared" si="2"/>
        <v>-42129.299999999996</v>
      </c>
      <c r="E12" s="426">
        <f t="shared" si="2"/>
        <v>27156.699999999997</v>
      </c>
      <c r="F12" s="426">
        <f t="shared" si="2"/>
        <v>57509.7</v>
      </c>
      <c r="G12" s="426">
        <f t="shared" si="2"/>
        <v>-30353</v>
      </c>
      <c r="H12" s="426">
        <f t="shared" si="2"/>
        <v>1200.1000000000001</v>
      </c>
      <c r="I12" s="426">
        <f t="shared" si="2"/>
        <v>20802</v>
      </c>
      <c r="J12" s="426">
        <f t="shared" si="2"/>
        <v>-19601.899999999998</v>
      </c>
      <c r="K12" s="426">
        <f t="shared" si="2"/>
        <v>532.1</v>
      </c>
      <c r="L12" s="426">
        <f t="shared" si="2"/>
        <v>119572.5</v>
      </c>
      <c r="M12" s="426">
        <f t="shared" si="2"/>
        <v>120104.59999999999</v>
      </c>
      <c r="N12" s="426">
        <f t="shared" si="2"/>
        <v>28020.399999999994</v>
      </c>
      <c r="O12" s="1329" t="s">
        <v>1560</v>
      </c>
      <c r="P12" s="426">
        <f t="shared" ref="P12:V12" si="3">SUM(P13:P16)</f>
        <v>3748.4</v>
      </c>
      <c r="Q12" s="426">
        <f t="shared" si="3"/>
        <v>-15496</v>
      </c>
      <c r="R12" s="426">
        <f t="shared" si="3"/>
        <v>3977.3</v>
      </c>
      <c r="S12" s="426">
        <f t="shared" si="3"/>
        <v>-13250.5</v>
      </c>
      <c r="T12" s="426">
        <f t="shared" si="3"/>
        <v>42962.3</v>
      </c>
      <c r="U12" s="426">
        <f t="shared" si="3"/>
        <v>18193.099999999999</v>
      </c>
      <c r="V12" s="426">
        <f t="shared" si="3"/>
        <v>-13575.699999999997</v>
      </c>
    </row>
    <row r="13" spans="1:22" s="211" customFormat="1" ht="12.2" customHeight="1">
      <c r="A13" s="1328" t="s">
        <v>1746</v>
      </c>
      <c r="B13" s="361">
        <v>59442.1</v>
      </c>
      <c r="C13" s="361">
        <v>66334.2</v>
      </c>
      <c r="D13" s="361">
        <f t="shared" ref="D13:D21" si="4">B13-C13</f>
        <v>-6892.0999999999985</v>
      </c>
      <c r="E13" s="361">
        <v>6720.8</v>
      </c>
      <c r="F13" s="361">
        <v>13331.9</v>
      </c>
      <c r="G13" s="361">
        <f t="shared" ref="G13:G21" si="5">E13-F13</f>
        <v>-6611.0999999999995</v>
      </c>
      <c r="H13" s="361">
        <v>438.1</v>
      </c>
      <c r="I13" s="361">
        <v>5119.5</v>
      </c>
      <c r="J13" s="361">
        <f t="shared" ref="J13:J21" si="6">H13-I13</f>
        <v>-4681.3999999999996</v>
      </c>
      <c r="K13" s="361">
        <v>106.1</v>
      </c>
      <c r="L13" s="361">
        <v>31252.799999999999</v>
      </c>
      <c r="M13" s="361">
        <f t="shared" ref="M13:M21" si="7">K13+L13</f>
        <v>31358.899999999998</v>
      </c>
      <c r="N13" s="360">
        <f t="shared" ref="N13:N21" si="8">D13++G13+J13+M13</f>
        <v>13174.3</v>
      </c>
      <c r="O13" s="1328" t="s">
        <v>1746</v>
      </c>
      <c r="P13" s="361">
        <v>741</v>
      </c>
      <c r="Q13" s="361">
        <v>-4603.5</v>
      </c>
      <c r="R13" s="361">
        <v>-68.599999999999994</v>
      </c>
      <c r="S13" s="361">
        <v>3482.7</v>
      </c>
      <c r="T13" s="361">
        <v>11547</v>
      </c>
      <c r="U13" s="360">
        <f t="shared" ref="U13:U21" si="9">Q13+R13+S13+T13</f>
        <v>10357.599999999999</v>
      </c>
      <c r="V13" s="361">
        <f t="shared" ref="V13:V21" si="10">-(N13+P13-U13)</f>
        <v>-3557.7000000000007</v>
      </c>
    </row>
    <row r="14" spans="1:22" s="211" customFormat="1" ht="12.2" customHeight="1">
      <c r="A14" s="1327" t="s">
        <v>1743</v>
      </c>
      <c r="B14" s="294">
        <v>63437</v>
      </c>
      <c r="C14" s="294">
        <v>80652.399999999994</v>
      </c>
      <c r="D14" s="294">
        <f>B14-C14</f>
        <v>-17215.399999999994</v>
      </c>
      <c r="E14" s="294">
        <v>6804.7</v>
      </c>
      <c r="F14" s="294">
        <v>14314.6</v>
      </c>
      <c r="G14" s="294">
        <f t="shared" si="5"/>
        <v>-7509.9000000000005</v>
      </c>
      <c r="H14" s="294">
        <v>359.3</v>
      </c>
      <c r="I14" s="294">
        <v>4697.5</v>
      </c>
      <c r="J14" s="294">
        <f t="shared" si="6"/>
        <v>-4338.2</v>
      </c>
      <c r="K14" s="294">
        <v>130.9</v>
      </c>
      <c r="L14" s="294">
        <v>28831.1</v>
      </c>
      <c r="M14" s="294">
        <f t="shared" si="7"/>
        <v>28962</v>
      </c>
      <c r="N14" s="293">
        <f t="shared" si="8"/>
        <v>-101.49999999999636</v>
      </c>
      <c r="O14" s="1327" t="s">
        <v>1743</v>
      </c>
      <c r="P14" s="294">
        <v>1096.5999999999999</v>
      </c>
      <c r="Q14" s="294">
        <v>-4138.8</v>
      </c>
      <c r="R14" s="294">
        <v>811.5</v>
      </c>
      <c r="S14" s="294">
        <v>-5942.4</v>
      </c>
      <c r="T14" s="294">
        <v>9622.5</v>
      </c>
      <c r="U14" s="293">
        <f t="shared" si="9"/>
        <v>352.79999999999927</v>
      </c>
      <c r="V14" s="294">
        <f t="shared" si="10"/>
        <v>-642.30000000000427</v>
      </c>
    </row>
    <row r="15" spans="1:22" s="211" customFormat="1" ht="12.2" customHeight="1">
      <c r="A15" s="1328" t="s">
        <v>1744</v>
      </c>
      <c r="B15" s="361">
        <v>67692.899999999994</v>
      </c>
      <c r="C15" s="361">
        <v>74910.100000000006</v>
      </c>
      <c r="D15" s="361">
        <f t="shared" si="4"/>
        <v>-7217.2000000000116</v>
      </c>
      <c r="E15" s="361">
        <v>6535.6</v>
      </c>
      <c r="F15" s="361">
        <v>14012.2</v>
      </c>
      <c r="G15" s="361">
        <f t="shared" si="5"/>
        <v>-7476.6</v>
      </c>
      <c r="H15" s="361">
        <v>222.1</v>
      </c>
      <c r="I15" s="361">
        <v>4594.3999999999996</v>
      </c>
      <c r="J15" s="361">
        <f t="shared" si="6"/>
        <v>-4372.2999999999993</v>
      </c>
      <c r="K15" s="361">
        <v>181.5</v>
      </c>
      <c r="L15" s="361">
        <v>28449</v>
      </c>
      <c r="M15" s="361">
        <f t="shared" si="7"/>
        <v>28630.5</v>
      </c>
      <c r="N15" s="360">
        <f t="shared" si="8"/>
        <v>9564.3999999999869</v>
      </c>
      <c r="O15" s="1328" t="s">
        <v>1744</v>
      </c>
      <c r="P15" s="361">
        <v>1102.7</v>
      </c>
      <c r="Q15" s="361">
        <v>-3207.5</v>
      </c>
      <c r="R15" s="361">
        <v>-191.7</v>
      </c>
      <c r="S15" s="361">
        <v>3484</v>
      </c>
      <c r="T15" s="361">
        <v>6149.2</v>
      </c>
      <c r="U15" s="360">
        <f t="shared" si="9"/>
        <v>6234</v>
      </c>
      <c r="V15" s="361">
        <f t="shared" si="10"/>
        <v>-4433.0999999999876</v>
      </c>
    </row>
    <row r="16" spans="1:22" s="211" customFormat="1" ht="12.2" customHeight="1">
      <c r="A16" s="1327" t="s">
        <v>1745</v>
      </c>
      <c r="B16" s="294">
        <v>71250.600000000006</v>
      </c>
      <c r="C16" s="294">
        <v>82055.199999999997</v>
      </c>
      <c r="D16" s="294">
        <f t="shared" si="4"/>
        <v>-10804.599999999991</v>
      </c>
      <c r="E16" s="294">
        <v>7095.6</v>
      </c>
      <c r="F16" s="294">
        <v>15851</v>
      </c>
      <c r="G16" s="294">
        <f t="shared" si="5"/>
        <v>-8755.4</v>
      </c>
      <c r="H16" s="294">
        <v>180.6</v>
      </c>
      <c r="I16" s="294">
        <v>6390.6</v>
      </c>
      <c r="J16" s="294">
        <f t="shared" si="6"/>
        <v>-6210</v>
      </c>
      <c r="K16" s="294">
        <v>113.6</v>
      </c>
      <c r="L16" s="294">
        <v>31039.599999999999</v>
      </c>
      <c r="M16" s="294">
        <f t="shared" si="7"/>
        <v>31153.199999999997</v>
      </c>
      <c r="N16" s="293">
        <f t="shared" si="8"/>
        <v>5383.2000000000044</v>
      </c>
      <c r="O16" s="1327" t="s">
        <v>1745</v>
      </c>
      <c r="P16" s="294">
        <v>808.1</v>
      </c>
      <c r="Q16" s="294">
        <v>-3546.2</v>
      </c>
      <c r="R16" s="294">
        <v>3426.1</v>
      </c>
      <c r="S16" s="294">
        <v>-14274.8</v>
      </c>
      <c r="T16" s="294">
        <v>15643.6</v>
      </c>
      <c r="U16" s="293">
        <f t="shared" si="9"/>
        <v>1248.7000000000007</v>
      </c>
      <c r="V16" s="294">
        <f t="shared" si="10"/>
        <v>-4942.600000000004</v>
      </c>
    </row>
    <row r="17" spans="1:22" s="213" customFormat="1" ht="12.2" customHeight="1">
      <c r="A17" s="1330" t="s">
        <v>1596</v>
      </c>
      <c r="B17" s="416">
        <f t="shared" ref="B17:N17" si="11">SUM(B18:B21)</f>
        <v>269251.7</v>
      </c>
      <c r="C17" s="416">
        <f t="shared" si="11"/>
        <v>334930</v>
      </c>
      <c r="D17" s="416">
        <f t="shared" si="11"/>
        <v>-65678.300000000017</v>
      </c>
      <c r="E17" s="416">
        <f t="shared" si="11"/>
        <v>28718.6</v>
      </c>
      <c r="F17" s="416">
        <f t="shared" si="11"/>
        <v>64385.600000000006</v>
      </c>
      <c r="G17" s="416">
        <f t="shared" si="11"/>
        <v>-35667.000000000007</v>
      </c>
      <c r="H17" s="416">
        <f t="shared" si="11"/>
        <v>812.4</v>
      </c>
      <c r="I17" s="416">
        <f t="shared" si="11"/>
        <v>21662.2</v>
      </c>
      <c r="J17" s="416">
        <f t="shared" si="11"/>
        <v>-20849.8</v>
      </c>
      <c r="K17" s="416">
        <f t="shared" si="11"/>
        <v>343.8</v>
      </c>
      <c r="L17" s="416">
        <f t="shared" si="11"/>
        <v>105172.20000000001</v>
      </c>
      <c r="M17" s="416">
        <f t="shared" si="11"/>
        <v>105516</v>
      </c>
      <c r="N17" s="416">
        <f t="shared" si="11"/>
        <v>-16679.10000000002</v>
      </c>
      <c r="O17" s="1330" t="s">
        <v>1596</v>
      </c>
      <c r="P17" s="416">
        <f t="shared" ref="P17:V17" si="12">SUM(P18:P21)</f>
        <v>2486.3999999999996</v>
      </c>
      <c r="Q17" s="416">
        <f t="shared" si="12"/>
        <v>-18863.099999999999</v>
      </c>
      <c r="R17" s="416">
        <f t="shared" si="12"/>
        <v>-1288.7</v>
      </c>
      <c r="S17" s="416">
        <f t="shared" si="12"/>
        <v>-27292</v>
      </c>
      <c r="T17" s="416">
        <f t="shared" si="12"/>
        <v>26394.400000000001</v>
      </c>
      <c r="U17" s="416">
        <f t="shared" si="12"/>
        <v>-21049.4</v>
      </c>
      <c r="V17" s="416">
        <f t="shared" si="12"/>
        <v>-6856.6999999999807</v>
      </c>
    </row>
    <row r="18" spans="1:22" s="213" customFormat="1" ht="12.2" customHeight="1">
      <c r="A18" s="1327" t="s">
        <v>1746</v>
      </c>
      <c r="B18" s="294">
        <v>62005.9</v>
      </c>
      <c r="C18" s="294">
        <v>72490.8</v>
      </c>
      <c r="D18" s="294">
        <f t="shared" si="4"/>
        <v>-10484.900000000001</v>
      </c>
      <c r="E18" s="294">
        <v>6787.5</v>
      </c>
      <c r="F18" s="294">
        <v>14905.5</v>
      </c>
      <c r="G18" s="294">
        <f t="shared" si="5"/>
        <v>-8118</v>
      </c>
      <c r="H18" s="294">
        <v>165.1</v>
      </c>
      <c r="I18" s="294">
        <v>5789.6</v>
      </c>
      <c r="J18" s="294">
        <f t="shared" si="6"/>
        <v>-5624.5</v>
      </c>
      <c r="K18" s="294">
        <v>103.4</v>
      </c>
      <c r="L18" s="294">
        <v>26671.1</v>
      </c>
      <c r="M18" s="294">
        <f t="shared" si="7"/>
        <v>26774.5</v>
      </c>
      <c r="N18" s="293">
        <f t="shared" si="8"/>
        <v>2547.0999999999985</v>
      </c>
      <c r="O18" s="1327" t="s">
        <v>1746</v>
      </c>
      <c r="P18" s="294">
        <v>493.5</v>
      </c>
      <c r="Q18" s="294">
        <v>-4754.7</v>
      </c>
      <c r="R18" s="294">
        <v>-422.9</v>
      </c>
      <c r="S18" s="294">
        <v>1061.7</v>
      </c>
      <c r="T18" s="294">
        <v>7745.3</v>
      </c>
      <c r="U18" s="293">
        <f t="shared" si="9"/>
        <v>3629.4000000000005</v>
      </c>
      <c r="V18" s="294">
        <f t="shared" si="10"/>
        <v>588.800000000002</v>
      </c>
    </row>
    <row r="19" spans="1:22" s="213" customFormat="1" ht="12.2" customHeight="1">
      <c r="A19" s="1328" t="s">
        <v>1743</v>
      </c>
      <c r="B19" s="361">
        <v>66800.100000000006</v>
      </c>
      <c r="C19" s="361">
        <v>87302</v>
      </c>
      <c r="D19" s="361">
        <f t="shared" si="4"/>
        <v>-20501.899999999994</v>
      </c>
      <c r="E19" s="361">
        <v>7364.4</v>
      </c>
      <c r="F19" s="361">
        <v>16453.2</v>
      </c>
      <c r="G19" s="361">
        <f t="shared" si="5"/>
        <v>-9088.8000000000011</v>
      </c>
      <c r="H19" s="361">
        <v>170.8</v>
      </c>
      <c r="I19" s="361">
        <v>5041.6000000000004</v>
      </c>
      <c r="J19" s="361">
        <f t="shared" si="6"/>
        <v>-4870.8</v>
      </c>
      <c r="K19" s="361">
        <v>112.6</v>
      </c>
      <c r="L19" s="361">
        <v>24143.200000000001</v>
      </c>
      <c r="M19" s="361">
        <f t="shared" si="7"/>
        <v>24255.8</v>
      </c>
      <c r="N19" s="360">
        <f t="shared" si="8"/>
        <v>-10205.700000000001</v>
      </c>
      <c r="O19" s="1328" t="s">
        <v>1743</v>
      </c>
      <c r="P19" s="361">
        <v>949.8</v>
      </c>
      <c r="Q19" s="361">
        <v>-6481.3</v>
      </c>
      <c r="R19" s="361">
        <v>-3148.9</v>
      </c>
      <c r="S19" s="361">
        <v>-10725.6</v>
      </c>
      <c r="T19" s="361">
        <v>10290</v>
      </c>
      <c r="U19" s="360">
        <f t="shared" si="9"/>
        <v>-10065.800000000003</v>
      </c>
      <c r="V19" s="361">
        <f t="shared" si="10"/>
        <v>-809.90000000000146</v>
      </c>
    </row>
    <row r="20" spans="1:22" s="213" customFormat="1" ht="12.2" customHeight="1">
      <c r="A20" s="1327" t="s">
        <v>1744</v>
      </c>
      <c r="B20" s="294">
        <v>70661.899999999994</v>
      </c>
      <c r="C20" s="294">
        <v>88241.600000000006</v>
      </c>
      <c r="D20" s="294">
        <f t="shared" si="4"/>
        <v>-17579.700000000012</v>
      </c>
      <c r="E20" s="294">
        <v>7320.8</v>
      </c>
      <c r="F20" s="294">
        <v>16659.400000000001</v>
      </c>
      <c r="G20" s="294">
        <f t="shared" si="5"/>
        <v>-9338.6000000000022</v>
      </c>
      <c r="H20" s="294">
        <v>204.4</v>
      </c>
      <c r="I20" s="294">
        <v>5107.5</v>
      </c>
      <c r="J20" s="294">
        <f t="shared" si="6"/>
        <v>-4903.1000000000004</v>
      </c>
      <c r="K20" s="294">
        <v>83.2</v>
      </c>
      <c r="L20" s="294">
        <v>24602.400000000001</v>
      </c>
      <c r="M20" s="294">
        <f t="shared" si="7"/>
        <v>24685.600000000002</v>
      </c>
      <c r="N20" s="293">
        <f t="shared" si="8"/>
        <v>-7135.8000000000138</v>
      </c>
      <c r="O20" s="1327" t="s">
        <v>1744</v>
      </c>
      <c r="P20" s="294">
        <v>450.3</v>
      </c>
      <c r="Q20" s="294">
        <v>-3739.3</v>
      </c>
      <c r="R20" s="294">
        <v>745.3</v>
      </c>
      <c r="S20" s="294">
        <v>-4348.7</v>
      </c>
      <c r="T20" s="294">
        <v>-517.5</v>
      </c>
      <c r="U20" s="293">
        <f t="shared" si="9"/>
        <v>-7860.2</v>
      </c>
      <c r="V20" s="294">
        <f t="shared" si="10"/>
        <v>-1174.6999999999862</v>
      </c>
    </row>
    <row r="21" spans="1:22" s="213" customFormat="1" ht="12.2" customHeight="1">
      <c r="A21" s="1328" t="s">
        <v>1745</v>
      </c>
      <c r="B21" s="361">
        <v>69783.8</v>
      </c>
      <c r="C21" s="361">
        <v>86895.6</v>
      </c>
      <c r="D21" s="361">
        <f t="shared" si="4"/>
        <v>-17111.800000000003</v>
      </c>
      <c r="E21" s="361">
        <v>7245.9</v>
      </c>
      <c r="F21" s="361">
        <v>16367.5</v>
      </c>
      <c r="G21" s="361">
        <f t="shared" si="5"/>
        <v>-9121.6</v>
      </c>
      <c r="H21" s="361">
        <v>272.10000000000002</v>
      </c>
      <c r="I21" s="361">
        <v>5723.5</v>
      </c>
      <c r="J21" s="361">
        <f t="shared" si="6"/>
        <v>-5451.4</v>
      </c>
      <c r="K21" s="361">
        <v>44.6</v>
      </c>
      <c r="L21" s="361">
        <v>29755.5</v>
      </c>
      <c r="M21" s="361">
        <f t="shared" si="7"/>
        <v>29800.1</v>
      </c>
      <c r="N21" s="360">
        <f t="shared" si="8"/>
        <v>-1884.7000000000044</v>
      </c>
      <c r="O21" s="1328" t="s">
        <v>1745</v>
      </c>
      <c r="P21" s="361">
        <v>592.79999999999995</v>
      </c>
      <c r="Q21" s="361">
        <v>-3887.8</v>
      </c>
      <c r="R21" s="361">
        <v>1537.8</v>
      </c>
      <c r="S21" s="361">
        <v>-13279.4</v>
      </c>
      <c r="T21" s="361">
        <v>8876.6</v>
      </c>
      <c r="U21" s="360">
        <f t="shared" si="9"/>
        <v>-6752.7999999999993</v>
      </c>
      <c r="V21" s="361">
        <f t="shared" si="10"/>
        <v>-5460.8999999999951</v>
      </c>
    </row>
    <row r="22" spans="1:22" s="213" customFormat="1" ht="12.2" customHeight="1">
      <c r="A22" s="1329" t="s">
        <v>1756</v>
      </c>
      <c r="B22" s="426">
        <f t="shared" ref="B22:N22" si="13">SUM(B23:B26)</f>
        <v>297456.2</v>
      </c>
      <c r="C22" s="426">
        <f t="shared" si="13"/>
        <v>447422.4</v>
      </c>
      <c r="D22" s="426">
        <f t="shared" si="13"/>
        <v>-149966.20000000001</v>
      </c>
      <c r="E22" s="426">
        <f t="shared" si="13"/>
        <v>37062.899999999994</v>
      </c>
      <c r="F22" s="426">
        <f t="shared" si="13"/>
        <v>76200.299999999988</v>
      </c>
      <c r="G22" s="426">
        <f t="shared" si="13"/>
        <v>-39137.399999999994</v>
      </c>
      <c r="H22" s="426">
        <f t="shared" si="13"/>
        <v>1035.0999999999999</v>
      </c>
      <c r="I22" s="426">
        <f t="shared" si="13"/>
        <v>18647.8</v>
      </c>
      <c r="J22" s="426">
        <f t="shared" si="13"/>
        <v>-17612.7</v>
      </c>
      <c r="K22" s="426">
        <f t="shared" si="13"/>
        <v>397.6</v>
      </c>
      <c r="L22" s="426">
        <f t="shared" si="13"/>
        <v>126970.9</v>
      </c>
      <c r="M22" s="426">
        <f t="shared" si="13"/>
        <v>127368.5</v>
      </c>
      <c r="N22" s="426">
        <f t="shared" si="13"/>
        <v>-79347.799999999988</v>
      </c>
      <c r="O22" s="1329" t="s">
        <v>1756</v>
      </c>
      <c r="P22" s="426">
        <f t="shared" ref="P22:V22" si="14">SUM(P23:P26)</f>
        <v>2398.6999999999998</v>
      </c>
      <c r="Q22" s="426">
        <f t="shared" si="14"/>
        <v>-14874.099999999999</v>
      </c>
      <c r="R22" s="426">
        <f t="shared" si="14"/>
        <v>664.4</v>
      </c>
      <c r="S22" s="426">
        <f t="shared" si="14"/>
        <v>-59732.399999999994</v>
      </c>
      <c r="T22" s="426">
        <f t="shared" si="14"/>
        <v>-6402.3</v>
      </c>
      <c r="U22" s="426">
        <f t="shared" si="14"/>
        <v>-80344.399999999994</v>
      </c>
      <c r="V22" s="426">
        <f t="shared" si="14"/>
        <v>-3395.299999999992</v>
      </c>
    </row>
    <row r="23" spans="1:22" s="213" customFormat="1" ht="12.2" customHeight="1">
      <c r="A23" s="1328" t="s">
        <v>1746</v>
      </c>
      <c r="B23" s="361">
        <v>68969.8</v>
      </c>
      <c r="C23" s="361">
        <v>98425.8</v>
      </c>
      <c r="D23" s="361">
        <f t="shared" ref="D23:D31" si="15">B23-C23</f>
        <v>-29456</v>
      </c>
      <c r="E23" s="361">
        <v>7797.9</v>
      </c>
      <c r="F23" s="361">
        <v>16636.8</v>
      </c>
      <c r="G23" s="361">
        <f t="shared" ref="G23:G31" si="16">E23-F23</f>
        <v>-8838.9</v>
      </c>
      <c r="H23" s="361">
        <v>224.6</v>
      </c>
      <c r="I23" s="361">
        <v>4263.6000000000004</v>
      </c>
      <c r="J23" s="361">
        <f t="shared" ref="J23:J31" si="17">H23-I23</f>
        <v>-4039.0000000000005</v>
      </c>
      <c r="K23" s="361">
        <v>97.2</v>
      </c>
      <c r="L23" s="361">
        <v>27772.400000000001</v>
      </c>
      <c r="M23" s="361">
        <f t="shared" ref="M23:M31" si="18">K23+L23</f>
        <v>27869.600000000002</v>
      </c>
      <c r="N23" s="360">
        <f t="shared" ref="N23:N31" si="19">D23+G23+J23+M23</f>
        <v>-14464.3</v>
      </c>
      <c r="O23" s="1328" t="s">
        <v>1746</v>
      </c>
      <c r="P23" s="361">
        <v>519.29999999999995</v>
      </c>
      <c r="Q23" s="361">
        <v>-1710.9</v>
      </c>
      <c r="R23" s="361">
        <v>573.1</v>
      </c>
      <c r="S23" s="361">
        <v>-8333.2999999999993</v>
      </c>
      <c r="T23" s="361">
        <v>-6625</v>
      </c>
      <c r="U23" s="360">
        <f t="shared" ref="U23:U31" si="20">Q23+R23+S23+T23</f>
        <v>-16096.099999999999</v>
      </c>
      <c r="V23" s="361">
        <f t="shared" ref="V23:V31" si="21">-(N23+P23-U23)</f>
        <v>-2151.0999999999985</v>
      </c>
    </row>
    <row r="24" spans="1:22" s="213" customFormat="1" ht="12.2" customHeight="1">
      <c r="A24" s="1327" t="s">
        <v>1743</v>
      </c>
      <c r="B24" s="294">
        <v>74553.600000000006</v>
      </c>
      <c r="C24" s="294">
        <v>115042.6</v>
      </c>
      <c r="D24" s="294">
        <f t="shared" si="15"/>
        <v>-40489</v>
      </c>
      <c r="E24" s="294">
        <v>8780.4</v>
      </c>
      <c r="F24" s="294">
        <v>18716.099999999999</v>
      </c>
      <c r="G24" s="294">
        <f t="shared" si="16"/>
        <v>-9935.6999999999989</v>
      </c>
      <c r="H24" s="294">
        <v>191.4</v>
      </c>
      <c r="I24" s="294">
        <v>5033.5</v>
      </c>
      <c r="J24" s="294">
        <f t="shared" si="17"/>
        <v>-4842.1000000000004</v>
      </c>
      <c r="K24" s="294">
        <v>219.1</v>
      </c>
      <c r="L24" s="294">
        <v>30119.4</v>
      </c>
      <c r="M24" s="294">
        <f t="shared" si="18"/>
        <v>30338.5</v>
      </c>
      <c r="N24" s="293">
        <f t="shared" si="19"/>
        <v>-24928.299999999996</v>
      </c>
      <c r="O24" s="1327" t="s">
        <v>1743</v>
      </c>
      <c r="P24" s="294">
        <v>798.6</v>
      </c>
      <c r="Q24" s="294">
        <v>-4203.1000000000004</v>
      </c>
      <c r="R24" s="294">
        <v>-1450.2</v>
      </c>
      <c r="S24" s="294">
        <v>-16810.8</v>
      </c>
      <c r="T24" s="294">
        <v>3232.9</v>
      </c>
      <c r="U24" s="293">
        <f t="shared" si="20"/>
        <v>-19231.199999999997</v>
      </c>
      <c r="V24" s="294">
        <f t="shared" si="21"/>
        <v>4898.5</v>
      </c>
    </row>
    <row r="25" spans="1:22" s="213" customFormat="1" ht="12.2" customHeight="1">
      <c r="A25" s="1328" t="s">
        <v>1744</v>
      </c>
      <c r="B25" s="361">
        <v>78019.399999999994</v>
      </c>
      <c r="C25" s="361">
        <v>115941.7</v>
      </c>
      <c r="D25" s="361">
        <f t="shared" si="15"/>
        <v>-37922.300000000003</v>
      </c>
      <c r="E25" s="361">
        <v>9475.9</v>
      </c>
      <c r="F25" s="361">
        <v>18471.3</v>
      </c>
      <c r="G25" s="361">
        <f t="shared" si="16"/>
        <v>-8995.4</v>
      </c>
      <c r="H25" s="361">
        <v>251.7</v>
      </c>
      <c r="I25" s="361">
        <v>4551.7</v>
      </c>
      <c r="J25" s="361">
        <f t="shared" si="17"/>
        <v>-4300</v>
      </c>
      <c r="K25" s="361">
        <v>41.7</v>
      </c>
      <c r="L25" s="361">
        <v>32444.2</v>
      </c>
      <c r="M25" s="361">
        <f t="shared" si="18"/>
        <v>32485.9</v>
      </c>
      <c r="N25" s="360">
        <f t="shared" si="19"/>
        <v>-18731.800000000003</v>
      </c>
      <c r="O25" s="1328" t="s">
        <v>1744</v>
      </c>
      <c r="P25" s="361">
        <v>554.6</v>
      </c>
      <c r="Q25" s="361">
        <v>-3082.8</v>
      </c>
      <c r="R25" s="361">
        <v>451</v>
      </c>
      <c r="S25" s="361">
        <v>-8851.2999999999993</v>
      </c>
      <c r="T25" s="361">
        <v>-8321.9</v>
      </c>
      <c r="U25" s="360">
        <f t="shared" si="20"/>
        <v>-19805</v>
      </c>
      <c r="V25" s="361">
        <f t="shared" si="21"/>
        <v>-1627.7999999999956</v>
      </c>
    </row>
    <row r="26" spans="1:22" s="213" customFormat="1" ht="12.2" customHeight="1">
      <c r="A26" s="1327" t="s">
        <v>1745</v>
      </c>
      <c r="B26" s="294">
        <v>75913.399999999994</v>
      </c>
      <c r="C26" s="294">
        <v>118012.3</v>
      </c>
      <c r="D26" s="294">
        <f t="shared" si="15"/>
        <v>-42098.900000000009</v>
      </c>
      <c r="E26" s="294">
        <v>11008.7</v>
      </c>
      <c r="F26" s="294">
        <v>22376.1</v>
      </c>
      <c r="G26" s="294">
        <f t="shared" si="16"/>
        <v>-11367.399999999998</v>
      </c>
      <c r="H26" s="294">
        <v>367.4</v>
      </c>
      <c r="I26" s="294">
        <v>4799</v>
      </c>
      <c r="J26" s="294">
        <f t="shared" si="17"/>
        <v>-4431.6000000000004</v>
      </c>
      <c r="K26" s="294">
        <v>39.6</v>
      </c>
      <c r="L26" s="294">
        <v>36634.9</v>
      </c>
      <c r="M26" s="294">
        <f t="shared" si="18"/>
        <v>36674.5</v>
      </c>
      <c r="N26" s="294">
        <f t="shared" si="19"/>
        <v>-21223.4</v>
      </c>
      <c r="O26" s="1327" t="s">
        <v>1745</v>
      </c>
      <c r="P26" s="294">
        <v>526.20000000000005</v>
      </c>
      <c r="Q26" s="294">
        <v>-5877.3</v>
      </c>
      <c r="R26" s="294">
        <v>1090.5</v>
      </c>
      <c r="S26" s="294">
        <v>-25737</v>
      </c>
      <c r="T26" s="294">
        <v>5311.7</v>
      </c>
      <c r="U26" s="293">
        <f t="shared" si="20"/>
        <v>-25212.1</v>
      </c>
      <c r="V26" s="294">
        <f t="shared" si="21"/>
        <v>-4514.8999999999978</v>
      </c>
    </row>
    <row r="27" spans="1:22" s="213" customFormat="1" ht="12.2" customHeight="1">
      <c r="A27" s="1330" t="s">
        <v>1904</v>
      </c>
      <c r="B27" s="1325">
        <f t="shared" ref="B27:N27" si="22">SUM(B28:B31)</f>
        <v>335633.30000000005</v>
      </c>
      <c r="C27" s="1325">
        <f t="shared" si="22"/>
        <v>465793.29999999993</v>
      </c>
      <c r="D27" s="1326">
        <f t="shared" si="22"/>
        <v>-130160</v>
      </c>
      <c r="E27" s="1326">
        <f t="shared" si="22"/>
        <v>50849.100000000006</v>
      </c>
      <c r="F27" s="1326">
        <f t="shared" si="22"/>
        <v>79728</v>
      </c>
      <c r="G27" s="1326">
        <f t="shared" si="22"/>
        <v>-28878.899999999994</v>
      </c>
      <c r="H27" s="1326">
        <f t="shared" si="22"/>
        <v>3522.7999999999997</v>
      </c>
      <c r="I27" s="1326">
        <f t="shared" si="22"/>
        <v>20633.8</v>
      </c>
      <c r="J27" s="1326">
        <f t="shared" si="22"/>
        <v>-17111</v>
      </c>
      <c r="K27" s="1326">
        <f t="shared" si="22"/>
        <v>195</v>
      </c>
      <c r="L27" s="1326">
        <f t="shared" si="22"/>
        <v>142465.79999999999</v>
      </c>
      <c r="M27" s="1326">
        <f t="shared" si="22"/>
        <v>142660.79999999999</v>
      </c>
      <c r="N27" s="1326">
        <f t="shared" si="22"/>
        <v>-33489.099999999984</v>
      </c>
      <c r="O27" s="1330" t="s">
        <v>1904</v>
      </c>
      <c r="P27" s="1325">
        <f t="shared" ref="P27:V27" si="23">SUM(P28:P31)</f>
        <v>1955.5</v>
      </c>
      <c r="Q27" s="1325">
        <f t="shared" si="23"/>
        <v>-22072.3</v>
      </c>
      <c r="R27" s="1325">
        <f t="shared" si="23"/>
        <v>1609.1999999999998</v>
      </c>
      <c r="S27" s="1325">
        <f t="shared" si="23"/>
        <v>-20294.7</v>
      </c>
      <c r="T27" s="1325">
        <f t="shared" si="23"/>
        <v>-831.5</v>
      </c>
      <c r="U27" s="1325">
        <f t="shared" si="23"/>
        <v>-41589.300000000003</v>
      </c>
      <c r="V27" s="1325">
        <f t="shared" si="23"/>
        <v>-10055.700000000017</v>
      </c>
    </row>
    <row r="28" spans="1:22" s="213" customFormat="1" ht="12.2" customHeight="1">
      <c r="A28" s="1327" t="s">
        <v>1746</v>
      </c>
      <c r="B28" s="294">
        <v>81626.899999999994</v>
      </c>
      <c r="C28" s="294">
        <v>113892.6</v>
      </c>
      <c r="D28" s="294">
        <f t="shared" si="15"/>
        <v>-32265.700000000012</v>
      </c>
      <c r="E28" s="294">
        <v>12108.4</v>
      </c>
      <c r="F28" s="294">
        <v>18476.599999999999</v>
      </c>
      <c r="G28" s="294">
        <f t="shared" si="16"/>
        <v>-6368.1999999999989</v>
      </c>
      <c r="H28" s="294">
        <v>308.89999999999998</v>
      </c>
      <c r="I28" s="294">
        <v>4783.1000000000004</v>
      </c>
      <c r="J28" s="294">
        <f t="shared" si="17"/>
        <v>-4474.2000000000007</v>
      </c>
      <c r="K28" s="294">
        <v>75.7</v>
      </c>
      <c r="L28" s="294">
        <v>33108.800000000003</v>
      </c>
      <c r="M28" s="294">
        <f t="shared" si="18"/>
        <v>33184.5</v>
      </c>
      <c r="N28" s="294">
        <f t="shared" si="19"/>
        <v>-9923.6000000000058</v>
      </c>
      <c r="O28" s="1327" t="s">
        <v>1746</v>
      </c>
      <c r="P28" s="294">
        <v>370.5</v>
      </c>
      <c r="Q28" s="294">
        <v>-5019.8</v>
      </c>
      <c r="R28" s="294">
        <v>1079.5999999999999</v>
      </c>
      <c r="S28" s="294">
        <v>7321.5</v>
      </c>
      <c r="T28" s="294">
        <v>-7263.3</v>
      </c>
      <c r="U28" s="294">
        <f t="shared" si="20"/>
        <v>-3882.0000000000005</v>
      </c>
      <c r="V28" s="294">
        <f t="shared" si="21"/>
        <v>5671.1000000000058</v>
      </c>
    </row>
    <row r="29" spans="1:22" s="213" customFormat="1" ht="12.2" customHeight="1">
      <c r="A29" s="1328" t="s">
        <v>1743</v>
      </c>
      <c r="B29" s="361">
        <v>87356.3</v>
      </c>
      <c r="C29" s="361">
        <v>119277.2</v>
      </c>
      <c r="D29" s="361">
        <f t="shared" si="15"/>
        <v>-31920.899999999994</v>
      </c>
      <c r="E29" s="361">
        <v>12886</v>
      </c>
      <c r="F29" s="361">
        <v>20968.599999999999</v>
      </c>
      <c r="G29" s="361">
        <f t="shared" si="16"/>
        <v>-8082.5999999999985</v>
      </c>
      <c r="H29" s="361">
        <v>2338.6999999999998</v>
      </c>
      <c r="I29" s="361">
        <v>3597.2</v>
      </c>
      <c r="J29" s="361">
        <f t="shared" si="17"/>
        <v>-1258.5</v>
      </c>
      <c r="K29" s="361">
        <v>56.8</v>
      </c>
      <c r="L29" s="361">
        <v>31942.799999999999</v>
      </c>
      <c r="M29" s="361">
        <f t="shared" si="18"/>
        <v>31999.599999999999</v>
      </c>
      <c r="N29" s="361">
        <f t="shared" si="19"/>
        <v>-9262.3999999999942</v>
      </c>
      <c r="O29" s="1328" t="s">
        <v>1743</v>
      </c>
      <c r="P29" s="361">
        <v>753.9</v>
      </c>
      <c r="Q29" s="361">
        <v>-6088.9</v>
      </c>
      <c r="R29" s="361">
        <v>-2822.8</v>
      </c>
      <c r="S29" s="361">
        <v>-6719.7</v>
      </c>
      <c r="T29" s="361">
        <v>1157.3</v>
      </c>
      <c r="U29" s="361">
        <f t="shared" si="20"/>
        <v>-14474.100000000002</v>
      </c>
      <c r="V29" s="361">
        <f t="shared" si="21"/>
        <v>-5965.6000000000076</v>
      </c>
    </row>
    <row r="30" spans="1:22" s="213" customFormat="1" ht="12.2" customHeight="1">
      <c r="A30" s="1327" t="s">
        <v>1744</v>
      </c>
      <c r="B30" s="294">
        <v>86382</v>
      </c>
      <c r="C30" s="294">
        <v>122256.9</v>
      </c>
      <c r="D30" s="294">
        <f t="shared" si="15"/>
        <v>-35874.899999999994</v>
      </c>
      <c r="E30" s="294">
        <v>12386.2</v>
      </c>
      <c r="F30" s="294">
        <v>19794.2</v>
      </c>
      <c r="G30" s="294">
        <f t="shared" si="16"/>
        <v>-7408</v>
      </c>
      <c r="H30" s="294">
        <v>400</v>
      </c>
      <c r="I30" s="294">
        <v>6293.6</v>
      </c>
      <c r="J30" s="294">
        <f t="shared" si="17"/>
        <v>-5893.6</v>
      </c>
      <c r="K30" s="294">
        <v>37.299999999999997</v>
      </c>
      <c r="L30" s="294">
        <v>37661.9</v>
      </c>
      <c r="M30" s="294">
        <f t="shared" si="18"/>
        <v>37699.200000000004</v>
      </c>
      <c r="N30" s="294">
        <f t="shared" si="19"/>
        <v>-11477.299999999988</v>
      </c>
      <c r="O30" s="1327" t="s">
        <v>1744</v>
      </c>
      <c r="P30" s="294">
        <v>496.1</v>
      </c>
      <c r="Q30" s="294">
        <v>-7370</v>
      </c>
      <c r="R30" s="294">
        <v>2136.3000000000002</v>
      </c>
      <c r="S30" s="294">
        <v>-7373.4</v>
      </c>
      <c r="T30" s="294">
        <v>-4293.2</v>
      </c>
      <c r="U30" s="294">
        <f t="shared" si="20"/>
        <v>-16900.3</v>
      </c>
      <c r="V30" s="294">
        <f t="shared" si="21"/>
        <v>-5919.1000000000113</v>
      </c>
    </row>
    <row r="31" spans="1:22" s="213" customFormat="1" ht="12.2" customHeight="1">
      <c r="A31" s="1328" t="s">
        <v>1745</v>
      </c>
      <c r="B31" s="361">
        <v>80268.100000000006</v>
      </c>
      <c r="C31" s="361">
        <v>110366.6</v>
      </c>
      <c r="D31" s="361">
        <f t="shared" si="15"/>
        <v>-30098.5</v>
      </c>
      <c r="E31" s="361">
        <v>13468.5</v>
      </c>
      <c r="F31" s="361">
        <v>20488.599999999999</v>
      </c>
      <c r="G31" s="361">
        <f t="shared" si="16"/>
        <v>-7020.0999999999985</v>
      </c>
      <c r="H31" s="361">
        <v>475.2</v>
      </c>
      <c r="I31" s="361">
        <v>5959.9</v>
      </c>
      <c r="J31" s="361">
        <f t="shared" si="17"/>
        <v>-5484.7</v>
      </c>
      <c r="K31" s="361">
        <v>25.2</v>
      </c>
      <c r="L31" s="361">
        <v>39752.300000000003</v>
      </c>
      <c r="M31" s="361">
        <f t="shared" si="18"/>
        <v>39777.5</v>
      </c>
      <c r="N31" s="361">
        <f t="shared" si="19"/>
        <v>-2825.7999999999956</v>
      </c>
      <c r="O31" s="1328" t="s">
        <v>1745</v>
      </c>
      <c r="P31" s="361">
        <v>335</v>
      </c>
      <c r="Q31" s="361">
        <v>-3593.6</v>
      </c>
      <c r="R31" s="361">
        <v>1216.0999999999999</v>
      </c>
      <c r="S31" s="361">
        <v>-13523.1</v>
      </c>
      <c r="T31" s="361">
        <v>9567.7000000000007</v>
      </c>
      <c r="U31" s="361">
        <f t="shared" si="20"/>
        <v>-6332.9</v>
      </c>
      <c r="V31" s="361">
        <f t="shared" si="21"/>
        <v>-3842.100000000004</v>
      </c>
    </row>
    <row r="32" spans="1:22" s="213" customFormat="1" ht="12.2" customHeight="1">
      <c r="A32" s="1329" t="s">
        <v>2017</v>
      </c>
      <c r="B32" s="1390">
        <f t="shared" ref="B32:N32" si="24">SUM(B33:B36)</f>
        <v>280337.59999999998</v>
      </c>
      <c r="C32" s="1390">
        <f t="shared" si="24"/>
        <v>429749</v>
      </c>
      <c r="D32" s="1390">
        <f t="shared" si="24"/>
        <v>-149411.4</v>
      </c>
      <c r="E32" s="1390">
        <f t="shared" si="24"/>
        <v>50747.8</v>
      </c>
      <c r="F32" s="1390">
        <f t="shared" si="24"/>
        <v>72093.8</v>
      </c>
      <c r="G32" s="1390">
        <f t="shared" si="24"/>
        <v>-21346</v>
      </c>
      <c r="H32" s="1390">
        <f t="shared" si="24"/>
        <v>1853.9</v>
      </c>
      <c r="I32" s="1390">
        <f t="shared" si="24"/>
        <v>23355</v>
      </c>
      <c r="J32" s="1390">
        <f t="shared" si="24"/>
        <v>-21501.1</v>
      </c>
      <c r="K32" s="1390">
        <f t="shared" si="24"/>
        <v>163.69999999999999</v>
      </c>
      <c r="L32" s="1390">
        <f t="shared" si="24"/>
        <v>158938.59999999998</v>
      </c>
      <c r="M32" s="1390">
        <f t="shared" si="24"/>
        <v>159102.29999999999</v>
      </c>
      <c r="N32" s="1390">
        <f t="shared" si="24"/>
        <v>-33156.19999999999</v>
      </c>
      <c r="O32" s="1329" t="s">
        <v>2017</v>
      </c>
      <c r="P32" s="1390">
        <f t="shared" ref="P32:V32" si="25">SUM(P33:P36)</f>
        <v>2174.1999999999998</v>
      </c>
      <c r="Q32" s="1390">
        <f t="shared" si="25"/>
        <v>-10783.7</v>
      </c>
      <c r="R32" s="1390">
        <f t="shared" si="25"/>
        <v>-124.90000000000002</v>
      </c>
      <c r="S32" s="1390">
        <f t="shared" si="25"/>
        <v>-55974.5</v>
      </c>
      <c r="T32" s="1390">
        <f t="shared" si="25"/>
        <v>27451.9</v>
      </c>
      <c r="U32" s="1390">
        <f t="shared" si="25"/>
        <v>-39431.200000000004</v>
      </c>
      <c r="V32" s="1390">
        <f t="shared" si="25"/>
        <v>-8449.2000000000135</v>
      </c>
    </row>
    <row r="33" spans="1:22" s="213" customFormat="1" ht="12.2" customHeight="1">
      <c r="A33" s="1328" t="s">
        <v>1746</v>
      </c>
      <c r="B33" s="361">
        <v>80122.8</v>
      </c>
      <c r="C33" s="361">
        <v>112017.5</v>
      </c>
      <c r="D33" s="361">
        <f t="shared" ref="D33:D48" si="26">B33-C33</f>
        <v>-31894.699999999997</v>
      </c>
      <c r="E33" s="361">
        <v>12475.8</v>
      </c>
      <c r="F33" s="361">
        <v>19747.7</v>
      </c>
      <c r="G33" s="361">
        <f t="shared" ref="G33:G48" si="27">E33-F33</f>
        <v>-7271.9000000000015</v>
      </c>
      <c r="H33" s="361">
        <v>325.10000000000002</v>
      </c>
      <c r="I33" s="361">
        <v>5008.1000000000004</v>
      </c>
      <c r="J33" s="361">
        <f t="shared" ref="J33:J48" si="28">H33-I33</f>
        <v>-4683</v>
      </c>
      <c r="K33" s="361">
        <v>18.100000000000001</v>
      </c>
      <c r="L33" s="361">
        <v>38971</v>
      </c>
      <c r="M33" s="361">
        <f t="shared" ref="M33:M48" si="29">K33+L33</f>
        <v>38989.1</v>
      </c>
      <c r="N33" s="361">
        <f t="shared" ref="N33:N48" si="30">D33+G33+J33+M33</f>
        <v>-4860.5</v>
      </c>
      <c r="O33" s="1328" t="s">
        <v>1746</v>
      </c>
      <c r="P33" s="361">
        <v>240.2</v>
      </c>
      <c r="Q33" s="361">
        <v>-1436.7</v>
      </c>
      <c r="R33" s="361">
        <v>-232.3</v>
      </c>
      <c r="S33" s="361">
        <v>3195.7</v>
      </c>
      <c r="T33" s="361">
        <v>-6543.7</v>
      </c>
      <c r="U33" s="361">
        <f t="shared" ref="U33:U48" si="31">Q33+R33+S33+T33</f>
        <v>-5017</v>
      </c>
      <c r="V33" s="361">
        <f t="shared" ref="V33:V48" si="32">-(N33+P33-U33)</f>
        <v>-396.69999999999982</v>
      </c>
    </row>
    <row r="34" spans="1:22" s="213" customFormat="1" ht="12.2" customHeight="1">
      <c r="A34" s="1327" t="s">
        <v>1743</v>
      </c>
      <c r="B34" s="294">
        <v>80430.7</v>
      </c>
      <c r="C34" s="294">
        <v>117085.5</v>
      </c>
      <c r="D34" s="294">
        <f t="shared" si="26"/>
        <v>-36654.800000000003</v>
      </c>
      <c r="E34" s="294">
        <v>14153.6</v>
      </c>
      <c r="F34" s="294">
        <v>20691.2</v>
      </c>
      <c r="G34" s="294">
        <f t="shared" si="27"/>
        <v>-6537.6</v>
      </c>
      <c r="H34" s="294">
        <v>338.9</v>
      </c>
      <c r="I34" s="294">
        <v>5792.4</v>
      </c>
      <c r="J34" s="294">
        <f t="shared" si="28"/>
        <v>-5453.5</v>
      </c>
      <c r="K34" s="294">
        <v>64.400000000000006</v>
      </c>
      <c r="L34" s="294">
        <v>42870.7</v>
      </c>
      <c r="M34" s="294">
        <f t="shared" si="29"/>
        <v>42935.1</v>
      </c>
      <c r="N34" s="294">
        <f t="shared" si="30"/>
        <v>-5710.8000000000029</v>
      </c>
      <c r="O34" s="1327" t="s">
        <v>1743</v>
      </c>
      <c r="P34" s="294">
        <v>855.6</v>
      </c>
      <c r="Q34" s="294">
        <v>-3499.8</v>
      </c>
      <c r="R34" s="294">
        <v>133.6</v>
      </c>
      <c r="S34" s="294">
        <v>-13884</v>
      </c>
      <c r="T34" s="294">
        <v>5713.4</v>
      </c>
      <c r="U34" s="294">
        <f t="shared" si="31"/>
        <v>-11536.800000000001</v>
      </c>
      <c r="V34" s="294">
        <f t="shared" si="32"/>
        <v>-6681.5999999999985</v>
      </c>
    </row>
    <row r="35" spans="1:22" s="213" customFormat="1" ht="12.2" customHeight="1">
      <c r="A35" s="1328" t="s">
        <v>1744</v>
      </c>
      <c r="B35" s="361">
        <v>80628.5</v>
      </c>
      <c r="C35" s="361">
        <v>112645.4</v>
      </c>
      <c r="D35" s="361">
        <f t="shared" si="26"/>
        <v>-32016.899999999994</v>
      </c>
      <c r="E35" s="361">
        <v>13774.2</v>
      </c>
      <c r="F35" s="361">
        <v>19495.599999999999</v>
      </c>
      <c r="G35" s="361">
        <f t="shared" si="27"/>
        <v>-5721.3999999999978</v>
      </c>
      <c r="H35" s="361">
        <v>337.1</v>
      </c>
      <c r="I35" s="361">
        <v>7100.8</v>
      </c>
      <c r="J35" s="361">
        <f t="shared" si="28"/>
        <v>-6763.7</v>
      </c>
      <c r="K35" s="361">
        <v>22.9</v>
      </c>
      <c r="L35" s="361">
        <v>37934.6</v>
      </c>
      <c r="M35" s="361">
        <f t="shared" si="29"/>
        <v>37957.5</v>
      </c>
      <c r="N35" s="361">
        <f t="shared" si="30"/>
        <v>-6544.4999999999854</v>
      </c>
      <c r="O35" s="1328" t="s">
        <v>1744</v>
      </c>
      <c r="P35" s="361">
        <v>303.7</v>
      </c>
      <c r="Q35" s="361">
        <v>-3798.6</v>
      </c>
      <c r="R35" s="361">
        <v>34.6</v>
      </c>
      <c r="S35" s="361">
        <v>-9743.7999999999993</v>
      </c>
      <c r="T35" s="361">
        <v>1881.7</v>
      </c>
      <c r="U35" s="361">
        <f t="shared" si="31"/>
        <v>-11626.099999999999</v>
      </c>
      <c r="V35" s="361">
        <f t="shared" si="32"/>
        <v>-5385.3000000000129</v>
      </c>
    </row>
    <row r="36" spans="1:22" s="213" customFormat="1" ht="12.2" customHeight="1">
      <c r="A36" s="1327" t="s">
        <v>1745</v>
      </c>
      <c r="B36" s="294">
        <v>39155.599999999999</v>
      </c>
      <c r="C36" s="294">
        <v>88000.6</v>
      </c>
      <c r="D36" s="294">
        <f t="shared" si="26"/>
        <v>-48845.000000000007</v>
      </c>
      <c r="E36" s="294">
        <v>10344.200000000001</v>
      </c>
      <c r="F36" s="294">
        <v>12159.3</v>
      </c>
      <c r="G36" s="294">
        <f t="shared" si="27"/>
        <v>-1815.0999999999985</v>
      </c>
      <c r="H36" s="294">
        <v>852.8</v>
      </c>
      <c r="I36" s="294">
        <v>5453.7</v>
      </c>
      <c r="J36" s="294">
        <f t="shared" si="28"/>
        <v>-4600.8999999999996</v>
      </c>
      <c r="K36" s="294">
        <v>58.3</v>
      </c>
      <c r="L36" s="294">
        <v>39162.300000000003</v>
      </c>
      <c r="M36" s="294">
        <f t="shared" si="29"/>
        <v>39220.600000000006</v>
      </c>
      <c r="N36" s="294">
        <f t="shared" si="30"/>
        <v>-16040.400000000001</v>
      </c>
      <c r="O36" s="1327" t="s">
        <v>1745</v>
      </c>
      <c r="P36" s="294">
        <v>774.7</v>
      </c>
      <c r="Q36" s="294">
        <v>-2048.6</v>
      </c>
      <c r="R36" s="294">
        <v>-60.8</v>
      </c>
      <c r="S36" s="294">
        <v>-35542.400000000001</v>
      </c>
      <c r="T36" s="294">
        <v>26400.5</v>
      </c>
      <c r="U36" s="294">
        <f t="shared" si="31"/>
        <v>-11251.300000000003</v>
      </c>
      <c r="V36" s="294">
        <f t="shared" si="32"/>
        <v>4014.3999999999978</v>
      </c>
    </row>
    <row r="37" spans="1:22" s="213" customFormat="1" ht="12.2" customHeight="1">
      <c r="A37" s="1330" t="s">
        <v>2140</v>
      </c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1"/>
      <c r="N37" s="361"/>
      <c r="O37" s="1333" t="s">
        <v>2140</v>
      </c>
      <c r="P37" s="361"/>
      <c r="Q37" s="361"/>
      <c r="R37" s="361"/>
      <c r="S37" s="361"/>
      <c r="T37" s="361"/>
      <c r="U37" s="361"/>
      <c r="V37" s="361"/>
    </row>
    <row r="38" spans="1:22" s="213" customFormat="1" ht="12.2" customHeight="1">
      <c r="A38" s="1327" t="s">
        <v>742</v>
      </c>
      <c r="B38" s="294">
        <v>31832.2</v>
      </c>
      <c r="C38" s="294">
        <v>33173.300000000003</v>
      </c>
      <c r="D38" s="294">
        <f t="shared" si="26"/>
        <v>-1341.1000000000022</v>
      </c>
      <c r="E38" s="294">
        <v>4345.3</v>
      </c>
      <c r="F38" s="294">
        <v>5956.9</v>
      </c>
      <c r="G38" s="294">
        <f t="shared" si="27"/>
        <v>-1611.5999999999995</v>
      </c>
      <c r="H38" s="294">
        <v>125.1</v>
      </c>
      <c r="I38" s="294">
        <v>2101.9</v>
      </c>
      <c r="J38" s="294">
        <f t="shared" si="28"/>
        <v>-1976.8000000000002</v>
      </c>
      <c r="K38" s="294">
        <v>10.5</v>
      </c>
      <c r="L38" s="294">
        <v>22210.799999999999</v>
      </c>
      <c r="M38" s="294">
        <f t="shared" si="29"/>
        <v>22221.3</v>
      </c>
      <c r="N38" s="294">
        <f t="shared" si="30"/>
        <v>17291.799999999996</v>
      </c>
      <c r="O38" s="1332" t="s">
        <v>742</v>
      </c>
      <c r="P38" s="294">
        <v>139.9</v>
      </c>
      <c r="Q38" s="294">
        <v>-688.1</v>
      </c>
      <c r="R38" s="294">
        <v>380.1</v>
      </c>
      <c r="S38" s="294">
        <v>8151.3</v>
      </c>
      <c r="T38" s="294">
        <v>7988.8</v>
      </c>
      <c r="U38" s="294">
        <f t="shared" si="31"/>
        <v>15832.1</v>
      </c>
      <c r="V38" s="294">
        <f t="shared" si="32"/>
        <v>-1599.5999999999967</v>
      </c>
    </row>
    <row r="39" spans="1:22" s="213" customFormat="1" ht="12.2" customHeight="1">
      <c r="A39" s="1328" t="s">
        <v>743</v>
      </c>
      <c r="B39" s="361">
        <v>24219.9</v>
      </c>
      <c r="C39" s="361">
        <v>29869.9</v>
      </c>
      <c r="D39" s="361">
        <f t="shared" si="26"/>
        <v>-5650</v>
      </c>
      <c r="E39" s="361">
        <v>4095.9</v>
      </c>
      <c r="F39" s="361">
        <v>4816.6000000000004</v>
      </c>
      <c r="G39" s="361">
        <f t="shared" si="27"/>
        <v>-720.70000000000027</v>
      </c>
      <c r="H39" s="361">
        <v>73.8</v>
      </c>
      <c r="I39" s="361">
        <v>1838.7</v>
      </c>
      <c r="J39" s="361">
        <f t="shared" si="28"/>
        <v>-1764.9</v>
      </c>
      <c r="K39" s="361">
        <v>0.4</v>
      </c>
      <c r="L39" s="361">
        <v>17031.3</v>
      </c>
      <c r="M39" s="361">
        <f t="shared" si="29"/>
        <v>17031.7</v>
      </c>
      <c r="N39" s="361">
        <f t="shared" si="30"/>
        <v>8896.1</v>
      </c>
      <c r="O39" s="1331" t="s">
        <v>743</v>
      </c>
      <c r="P39" s="361">
        <v>5.8</v>
      </c>
      <c r="Q39" s="361">
        <v>-1046.7</v>
      </c>
      <c r="R39" s="361">
        <v>494.4</v>
      </c>
      <c r="S39" s="361">
        <v>-2745.2</v>
      </c>
      <c r="T39" s="361">
        <v>13925.1</v>
      </c>
      <c r="U39" s="361">
        <f t="shared" si="31"/>
        <v>10627.6</v>
      </c>
      <c r="V39" s="361">
        <f t="shared" si="32"/>
        <v>1725.7000000000007</v>
      </c>
    </row>
    <row r="40" spans="1:22" s="213" customFormat="1" ht="12.2" customHeight="1">
      <c r="A40" s="1327" t="s">
        <v>737</v>
      </c>
      <c r="B40" s="294">
        <v>24570.799999999999</v>
      </c>
      <c r="C40" s="294">
        <v>36496.9</v>
      </c>
      <c r="D40" s="294">
        <f t="shared" si="26"/>
        <v>-11926.100000000002</v>
      </c>
      <c r="E40" s="294">
        <v>5296.3</v>
      </c>
      <c r="F40" s="294">
        <v>7607</v>
      </c>
      <c r="G40" s="294">
        <f t="shared" si="27"/>
        <v>-2310.6999999999998</v>
      </c>
      <c r="H40" s="294">
        <v>94</v>
      </c>
      <c r="I40" s="294">
        <v>2558.8000000000002</v>
      </c>
      <c r="J40" s="294">
        <f t="shared" si="28"/>
        <v>-2464.8000000000002</v>
      </c>
      <c r="K40" s="294">
        <v>68.5</v>
      </c>
      <c r="L40" s="294">
        <v>18532.7</v>
      </c>
      <c r="M40" s="294">
        <f t="shared" si="29"/>
        <v>18601.2</v>
      </c>
      <c r="N40" s="294">
        <f t="shared" si="30"/>
        <v>1899.5999999999985</v>
      </c>
      <c r="O40" s="1332" t="s">
        <v>737</v>
      </c>
      <c r="P40" s="294">
        <v>216</v>
      </c>
      <c r="Q40" s="294">
        <v>1645.5</v>
      </c>
      <c r="R40" s="294">
        <v>570.5</v>
      </c>
      <c r="S40" s="294">
        <v>-4249.1000000000004</v>
      </c>
      <c r="T40" s="294">
        <v>3559.5</v>
      </c>
      <c r="U40" s="294">
        <f t="shared" si="31"/>
        <v>1526.3999999999996</v>
      </c>
      <c r="V40" s="294">
        <f t="shared" si="32"/>
        <v>-589.19999999999891</v>
      </c>
    </row>
    <row r="41" spans="1:22" s="213" customFormat="1" ht="12.2" customHeight="1">
      <c r="A41" s="1328" t="s">
        <v>744</v>
      </c>
      <c r="B41" s="361">
        <v>23664.799999999999</v>
      </c>
      <c r="C41" s="361">
        <v>34326.699999999997</v>
      </c>
      <c r="D41" s="361">
        <f t="shared" si="26"/>
        <v>-10661.899999999998</v>
      </c>
      <c r="E41" s="361">
        <v>3880.9</v>
      </c>
      <c r="F41" s="361">
        <v>6462.4</v>
      </c>
      <c r="G41" s="361">
        <f t="shared" si="27"/>
        <v>-2581.4999999999995</v>
      </c>
      <c r="H41" s="361">
        <v>208.4</v>
      </c>
      <c r="I41" s="361">
        <v>2486.6999999999998</v>
      </c>
      <c r="J41" s="361">
        <f t="shared" si="28"/>
        <v>-2278.2999999999997</v>
      </c>
      <c r="K41" s="361">
        <v>5</v>
      </c>
      <c r="L41" s="361">
        <v>18102.7</v>
      </c>
      <c r="M41" s="361">
        <f t="shared" si="29"/>
        <v>18107.7</v>
      </c>
      <c r="N41" s="361">
        <f t="shared" si="30"/>
        <v>2586.0000000000036</v>
      </c>
      <c r="O41" s="1331" t="s">
        <v>744</v>
      </c>
      <c r="P41" s="361">
        <v>65.2</v>
      </c>
      <c r="Q41" s="361">
        <v>-821.4</v>
      </c>
      <c r="R41" s="361">
        <v>154.9</v>
      </c>
      <c r="S41" s="361">
        <v>-11428.5</v>
      </c>
      <c r="T41" s="361">
        <v>14206.2</v>
      </c>
      <c r="U41" s="361">
        <f t="shared" si="31"/>
        <v>2111.2000000000007</v>
      </c>
      <c r="V41" s="361">
        <f t="shared" si="32"/>
        <v>-540.00000000000273</v>
      </c>
    </row>
    <row r="42" spans="1:22" s="213" customFormat="1" ht="12.2" customHeight="1">
      <c r="A42" s="1327" t="s">
        <v>745</v>
      </c>
      <c r="B42" s="294">
        <v>24658.799999999999</v>
      </c>
      <c r="C42" s="294">
        <v>37798.5</v>
      </c>
      <c r="D42" s="294">
        <f t="shared" si="26"/>
        <v>-13139.7</v>
      </c>
      <c r="E42" s="294">
        <v>5180.8</v>
      </c>
      <c r="F42" s="294">
        <v>7562.3</v>
      </c>
      <c r="G42" s="294">
        <f t="shared" si="27"/>
        <v>-2381.5</v>
      </c>
      <c r="H42" s="294">
        <v>85.5</v>
      </c>
      <c r="I42" s="294">
        <v>2225</v>
      </c>
      <c r="J42" s="294">
        <f t="shared" si="28"/>
        <v>-2139.5</v>
      </c>
      <c r="K42" s="294">
        <v>5.4</v>
      </c>
      <c r="L42" s="294">
        <v>18154.3</v>
      </c>
      <c r="M42" s="294">
        <f t="shared" si="29"/>
        <v>18159.7</v>
      </c>
      <c r="N42" s="294">
        <f t="shared" si="30"/>
        <v>499</v>
      </c>
      <c r="O42" s="1327" t="s">
        <v>745</v>
      </c>
      <c r="P42" s="294">
        <v>72.2</v>
      </c>
      <c r="Q42" s="294">
        <v>-2209.6</v>
      </c>
      <c r="R42" s="294">
        <v>15.6</v>
      </c>
      <c r="S42" s="294">
        <v>1153.5</v>
      </c>
      <c r="T42" s="294">
        <v>1470.5</v>
      </c>
      <c r="U42" s="294">
        <f t="shared" si="31"/>
        <v>430</v>
      </c>
      <c r="V42" s="294">
        <f t="shared" si="32"/>
        <v>-141.20000000000005</v>
      </c>
    </row>
    <row r="43" spans="1:22" s="213" customFormat="1" ht="12.2" customHeight="1">
      <c r="A43" s="1328" t="s">
        <v>738</v>
      </c>
      <c r="B43" s="361">
        <v>26801.200000000001</v>
      </c>
      <c r="C43" s="361">
        <v>42270.7</v>
      </c>
      <c r="D43" s="361">
        <f t="shared" si="26"/>
        <v>-15469.499999999996</v>
      </c>
      <c r="E43" s="361">
        <v>6621.9</v>
      </c>
      <c r="F43" s="361">
        <v>7275.6</v>
      </c>
      <c r="G43" s="361">
        <f t="shared" si="27"/>
        <v>-653.70000000000073</v>
      </c>
      <c r="H43" s="361">
        <v>110.7</v>
      </c>
      <c r="I43" s="361">
        <v>1700.1</v>
      </c>
      <c r="J43" s="361">
        <f t="shared" si="28"/>
        <v>-1589.3999999999999</v>
      </c>
      <c r="K43" s="361">
        <v>75.2</v>
      </c>
      <c r="L43" s="361">
        <v>18192.7</v>
      </c>
      <c r="M43" s="361">
        <f t="shared" si="29"/>
        <v>18267.900000000001</v>
      </c>
      <c r="N43" s="361">
        <f t="shared" si="30"/>
        <v>555.30000000000291</v>
      </c>
      <c r="O43" s="1328" t="s">
        <v>738</v>
      </c>
      <c r="P43" s="361">
        <v>234.4</v>
      </c>
      <c r="Q43" s="361">
        <v>-650.1</v>
      </c>
      <c r="R43" s="361">
        <v>15.4</v>
      </c>
      <c r="S43" s="361">
        <v>-15028.2</v>
      </c>
      <c r="T43" s="361">
        <v>14498.5</v>
      </c>
      <c r="U43" s="361">
        <f t="shared" si="31"/>
        <v>-1164.4000000000015</v>
      </c>
      <c r="V43" s="361">
        <f t="shared" si="32"/>
        <v>-1954.1000000000045</v>
      </c>
    </row>
    <row r="44" spans="1:22" s="213" customFormat="1" ht="12.2" customHeight="1">
      <c r="A44" s="1327" t="s">
        <v>746</v>
      </c>
      <c r="B44" s="294">
        <v>28014.5</v>
      </c>
      <c r="C44" s="294">
        <v>56760.9</v>
      </c>
      <c r="D44" s="294">
        <f t="shared" si="26"/>
        <v>-28746.400000000001</v>
      </c>
      <c r="E44" s="294">
        <v>5202.5</v>
      </c>
      <c r="F44" s="294">
        <v>7943.4</v>
      </c>
      <c r="G44" s="294">
        <f t="shared" si="27"/>
        <v>-2740.8999999999996</v>
      </c>
      <c r="H44" s="294">
        <v>103.4</v>
      </c>
      <c r="I44" s="294">
        <v>1894.3</v>
      </c>
      <c r="J44" s="294">
        <f t="shared" si="28"/>
        <v>-1790.8999999999999</v>
      </c>
      <c r="K44" s="294">
        <v>1.8</v>
      </c>
      <c r="L44" s="294">
        <v>16953.7</v>
      </c>
      <c r="M44" s="294">
        <f t="shared" si="29"/>
        <v>16955.5</v>
      </c>
      <c r="N44" s="294">
        <f t="shared" si="30"/>
        <v>-16322.700000000004</v>
      </c>
      <c r="O44" s="1327" t="s">
        <v>746</v>
      </c>
      <c r="P44" s="294">
        <v>23.4</v>
      </c>
      <c r="Q44" s="294">
        <v>-906.4</v>
      </c>
      <c r="R44" s="294">
        <v>184.3</v>
      </c>
      <c r="S44" s="294">
        <v>-14747.1</v>
      </c>
      <c r="T44" s="294">
        <v>-2671.3</v>
      </c>
      <c r="U44" s="294">
        <f t="shared" si="31"/>
        <v>-18140.5</v>
      </c>
      <c r="V44" s="294">
        <f t="shared" si="32"/>
        <v>-1841.1999999999953</v>
      </c>
    </row>
    <row r="45" spans="1:22" s="213" customFormat="1" ht="12.2" customHeight="1">
      <c r="A45" s="1328" t="s">
        <v>747</v>
      </c>
      <c r="B45" s="361">
        <v>25964.5</v>
      </c>
      <c r="C45" s="361">
        <v>43649.7</v>
      </c>
      <c r="D45" s="361">
        <f t="shared" si="26"/>
        <v>-17685.199999999997</v>
      </c>
      <c r="E45" s="361">
        <v>4306.8</v>
      </c>
      <c r="F45" s="361">
        <v>6889.5</v>
      </c>
      <c r="G45" s="361">
        <f t="shared" si="27"/>
        <v>-2582.6999999999998</v>
      </c>
      <c r="H45" s="361">
        <v>126.8</v>
      </c>
      <c r="I45" s="361">
        <v>1138.9000000000001</v>
      </c>
      <c r="J45" s="361">
        <f t="shared" si="28"/>
        <v>-1012.1000000000001</v>
      </c>
      <c r="K45" s="361">
        <v>0</v>
      </c>
      <c r="L45" s="361">
        <v>15440.1</v>
      </c>
      <c r="M45" s="361">
        <f t="shared" si="29"/>
        <v>15440.1</v>
      </c>
      <c r="N45" s="361">
        <f t="shared" si="30"/>
        <v>-5839.899999999996</v>
      </c>
      <c r="O45" s="1328" t="s">
        <v>747</v>
      </c>
      <c r="P45" s="361">
        <v>0</v>
      </c>
      <c r="Q45" s="361">
        <v>-889.2</v>
      </c>
      <c r="R45" s="361">
        <v>259.89999999999998</v>
      </c>
      <c r="S45" s="361">
        <v>-16873.099999999999</v>
      </c>
      <c r="T45" s="361">
        <v>10088.9</v>
      </c>
      <c r="U45" s="361">
        <f t="shared" si="31"/>
        <v>-7413.4999999999982</v>
      </c>
      <c r="V45" s="361">
        <f t="shared" si="32"/>
        <v>-1573.6000000000022</v>
      </c>
    </row>
    <row r="46" spans="1:22" s="213" customFormat="1" ht="12.2" customHeight="1">
      <c r="A46" s="1327" t="s">
        <v>739</v>
      </c>
      <c r="B46" s="294">
        <v>24119.7</v>
      </c>
      <c r="C46" s="294">
        <v>48334.8</v>
      </c>
      <c r="D46" s="294">
        <f t="shared" si="26"/>
        <v>-24215.100000000002</v>
      </c>
      <c r="E46" s="294">
        <v>6860.4</v>
      </c>
      <c r="F46" s="294">
        <v>7995.4</v>
      </c>
      <c r="G46" s="294">
        <f t="shared" si="27"/>
        <v>-1135</v>
      </c>
      <c r="H46" s="294">
        <v>370.8</v>
      </c>
      <c r="I46" s="294">
        <v>2092.4</v>
      </c>
      <c r="J46" s="294">
        <f t="shared" si="28"/>
        <v>-1721.6000000000001</v>
      </c>
      <c r="K46" s="294">
        <v>22.9</v>
      </c>
      <c r="L46" s="294">
        <v>16643.900000000001</v>
      </c>
      <c r="M46" s="294">
        <f t="shared" si="29"/>
        <v>16666.800000000003</v>
      </c>
      <c r="N46" s="294">
        <f t="shared" si="30"/>
        <v>-10404.899999999998</v>
      </c>
      <c r="O46" s="1327" t="s">
        <v>739</v>
      </c>
      <c r="P46" s="294">
        <v>303.89999999999998</v>
      </c>
      <c r="Q46" s="294">
        <v>-611.29999999999995</v>
      </c>
      <c r="R46" s="294">
        <v>232.4</v>
      </c>
      <c r="S46" s="294">
        <v>-6488</v>
      </c>
      <c r="T46" s="294">
        <v>-2690.8</v>
      </c>
      <c r="U46" s="294">
        <f t="shared" si="31"/>
        <v>-9557.7000000000007</v>
      </c>
      <c r="V46" s="294">
        <f t="shared" si="32"/>
        <v>543.29999999999745</v>
      </c>
    </row>
    <row r="47" spans="1:22" s="213" customFormat="1" ht="12.2" customHeight="1">
      <c r="A47" s="1328" t="s">
        <v>748</v>
      </c>
      <c r="B47" s="361">
        <v>25419.8</v>
      </c>
      <c r="C47" s="361">
        <v>49109.599999999999</v>
      </c>
      <c r="D47" s="361">
        <f t="shared" si="26"/>
        <v>-23689.8</v>
      </c>
      <c r="E47" s="361">
        <v>5565.8</v>
      </c>
      <c r="F47" s="361">
        <v>6825.3</v>
      </c>
      <c r="G47" s="361">
        <f t="shared" si="27"/>
        <v>-1259.5</v>
      </c>
      <c r="H47" s="361">
        <v>201.1</v>
      </c>
      <c r="I47" s="361">
        <v>2006.9</v>
      </c>
      <c r="J47" s="361">
        <f t="shared" si="28"/>
        <v>-1805.8000000000002</v>
      </c>
      <c r="K47" s="361">
        <v>1.2</v>
      </c>
      <c r="L47" s="361">
        <v>17822.3</v>
      </c>
      <c r="M47" s="361">
        <f t="shared" si="29"/>
        <v>17823.5</v>
      </c>
      <c r="N47" s="361">
        <f t="shared" si="30"/>
        <v>-8931.5999999999985</v>
      </c>
      <c r="O47" s="1328" t="s">
        <v>748</v>
      </c>
      <c r="P47" s="361">
        <v>16.2</v>
      </c>
      <c r="Q47" s="361">
        <v>-405.1</v>
      </c>
      <c r="R47" s="361">
        <v>73.2</v>
      </c>
      <c r="S47" s="361">
        <v>-18943</v>
      </c>
      <c r="T47" s="361">
        <v>11297.6</v>
      </c>
      <c r="U47" s="361">
        <f t="shared" si="31"/>
        <v>-7977.3000000000011</v>
      </c>
      <c r="V47" s="361">
        <f t="shared" si="32"/>
        <v>938.09999999999673</v>
      </c>
    </row>
    <row r="48" spans="1:22" s="213" customFormat="1" ht="12.2" customHeight="1" thickBot="1">
      <c r="A48" s="1602" t="s">
        <v>749</v>
      </c>
      <c r="B48" s="835">
        <v>25316.1</v>
      </c>
      <c r="C48" s="835">
        <v>48137.8</v>
      </c>
      <c r="D48" s="835">
        <f t="shared" si="26"/>
        <v>-22821.700000000004</v>
      </c>
      <c r="E48" s="835">
        <v>5317.9</v>
      </c>
      <c r="F48" s="835">
        <v>8397.2000000000007</v>
      </c>
      <c r="G48" s="835">
        <f t="shared" si="27"/>
        <v>-3079.3000000000011</v>
      </c>
      <c r="H48" s="835">
        <v>223.9</v>
      </c>
      <c r="I48" s="835">
        <v>2640.7</v>
      </c>
      <c r="J48" s="835">
        <f t="shared" si="28"/>
        <v>-2416.7999999999997</v>
      </c>
      <c r="K48" s="835">
        <v>2.5</v>
      </c>
      <c r="L48" s="835">
        <v>18890.7</v>
      </c>
      <c r="M48" s="835">
        <f t="shared" si="29"/>
        <v>18893.2</v>
      </c>
      <c r="N48" s="835">
        <f t="shared" si="30"/>
        <v>-9424.6000000000058</v>
      </c>
      <c r="O48" s="1602" t="s">
        <v>749</v>
      </c>
      <c r="P48" s="835">
        <v>32.5</v>
      </c>
      <c r="Q48" s="835">
        <v>-1003.3</v>
      </c>
      <c r="R48" s="835">
        <v>172.2</v>
      </c>
      <c r="S48" s="835">
        <v>-8913.9</v>
      </c>
      <c r="T48" s="835">
        <v>-870</v>
      </c>
      <c r="U48" s="835">
        <f t="shared" si="31"/>
        <v>-10615</v>
      </c>
      <c r="V48" s="835">
        <f t="shared" si="32"/>
        <v>-1222.8999999999942</v>
      </c>
    </row>
    <row r="49" spans="1:22" s="213" customFormat="1">
      <c r="A49" s="222" t="s">
        <v>1809</v>
      </c>
      <c r="B49" s="1876" t="s">
        <v>1713</v>
      </c>
      <c r="C49" s="1876"/>
      <c r="D49" s="1876"/>
      <c r="E49" s="1876"/>
      <c r="F49" s="1876"/>
      <c r="G49" s="1876"/>
      <c r="H49" s="223" t="s">
        <v>16</v>
      </c>
      <c r="I49" s="1853" t="s">
        <v>1712</v>
      </c>
      <c r="J49" s="1853"/>
      <c r="K49" s="1853"/>
      <c r="L49" s="1853"/>
      <c r="M49" s="1483"/>
      <c r="N49" s="1483"/>
      <c r="O49" s="128" t="s">
        <v>969</v>
      </c>
      <c r="P49" s="224" t="s">
        <v>1810</v>
      </c>
      <c r="Q49" s="224"/>
      <c r="R49" s="224"/>
      <c r="S49" s="224"/>
      <c r="T49" s="224"/>
      <c r="U49" s="224"/>
      <c r="V49" s="224"/>
    </row>
    <row r="50" spans="1:22" s="213" customFormat="1">
      <c r="A50" s="211"/>
      <c r="B50" s="224" t="s">
        <v>388</v>
      </c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24" t="s">
        <v>1811</v>
      </c>
      <c r="Q50" s="224"/>
      <c r="R50" s="224"/>
      <c r="S50" s="224"/>
      <c r="T50" s="224"/>
      <c r="U50" s="224"/>
      <c r="V50" s="224"/>
    </row>
    <row r="51" spans="1:22" s="213" customFormat="1">
      <c r="P51" s="224" t="s">
        <v>388</v>
      </c>
    </row>
    <row r="52" spans="1:22" s="213" customFormat="1">
      <c r="Q52" s="572"/>
    </row>
    <row r="53" spans="1:22" s="213" customFormat="1">
      <c r="G53" s="225"/>
    </row>
    <row r="54" spans="1:22" s="213" customFormat="1"/>
    <row r="55" spans="1:22" s="213" customFormat="1"/>
    <row r="56" spans="1:22" s="213" customFormat="1">
      <c r="B56" s="225"/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</row>
    <row r="57" spans="1:22" s="213" customFormat="1">
      <c r="V57" s="225"/>
    </row>
    <row r="58" spans="1:22" s="213" customFormat="1">
      <c r="G58" s="225"/>
    </row>
    <row r="59" spans="1:22" s="213" customFormat="1"/>
    <row r="60" spans="1:22" s="213" customFormat="1"/>
    <row r="61" spans="1:22" s="213" customFormat="1"/>
    <row r="62" spans="1:22" s="213" customFormat="1"/>
    <row r="63" spans="1:22" s="213" customFormat="1"/>
    <row r="64" spans="1:22" s="213" customFormat="1"/>
    <row r="65" spans="7:7" s="213" customFormat="1"/>
    <row r="66" spans="7:7" s="213" customFormat="1"/>
    <row r="67" spans="7:7" s="213" customFormat="1"/>
    <row r="68" spans="7:7" s="213" customFormat="1">
      <c r="G68" s="225"/>
    </row>
    <row r="69" spans="7:7" s="213" customFormat="1"/>
    <row r="70" spans="7:7" s="213" customFormat="1"/>
    <row r="71" spans="7:7" s="213" customFormat="1"/>
    <row r="72" spans="7:7" s="213" customFormat="1"/>
    <row r="73" spans="7:7" s="213" customFormat="1"/>
    <row r="74" spans="7:7" s="213" customFormat="1"/>
    <row r="75" spans="7:7" s="213" customFormat="1"/>
    <row r="76" spans="7:7" s="213" customFormat="1"/>
    <row r="77" spans="7:7" s="213" customFormat="1"/>
    <row r="78" spans="7:7" s="213" customFormat="1"/>
    <row r="79" spans="7:7" s="213" customFormat="1"/>
    <row r="80" spans="7:7" s="213" customFormat="1"/>
    <row r="81" s="213" customFormat="1"/>
    <row r="82" s="213" customFormat="1"/>
    <row r="83" s="213" customFormat="1"/>
    <row r="84" s="213" customFormat="1"/>
    <row r="85" s="213" customFormat="1"/>
    <row r="86" s="213" customFormat="1"/>
    <row r="87" s="213" customFormat="1"/>
    <row r="88" s="213" customFormat="1"/>
    <row r="89" s="213" customFormat="1"/>
    <row r="90" s="213" customFormat="1"/>
    <row r="91" s="213" customFormat="1"/>
    <row r="92" s="213" customFormat="1"/>
    <row r="93" s="213" customFormat="1"/>
    <row r="94" s="213" customFormat="1"/>
    <row r="95" s="213" customFormat="1"/>
    <row r="96" s="213" customFormat="1"/>
    <row r="97" s="213" customFormat="1"/>
    <row r="98" s="213" customFormat="1"/>
    <row r="99" s="213" customFormat="1"/>
    <row r="100" s="213" customFormat="1"/>
    <row r="101" s="213" customFormat="1"/>
    <row r="102" s="213" customFormat="1"/>
    <row r="103" s="213" customFormat="1"/>
    <row r="104" s="213" customFormat="1"/>
    <row r="105" s="213" customFormat="1"/>
    <row r="106" s="213" customFormat="1"/>
    <row r="107" s="213" customFormat="1"/>
    <row r="108" s="213" customFormat="1"/>
    <row r="109" s="213" customFormat="1"/>
    <row r="110" s="213" customFormat="1"/>
    <row r="111" s="213" customFormat="1"/>
    <row r="112" s="213" customFormat="1"/>
    <row r="113" s="213" customFormat="1"/>
    <row r="114" s="213" customFormat="1"/>
    <row r="115" s="213" customFormat="1"/>
    <row r="116" s="213" customFormat="1"/>
    <row r="117" s="213" customFormat="1"/>
    <row r="118" s="213" customFormat="1"/>
    <row r="119" s="213" customFormat="1"/>
    <row r="120" s="213" customFormat="1"/>
    <row r="121" s="213" customFormat="1"/>
    <row r="122" s="213" customFormat="1"/>
    <row r="123" s="213" customFormat="1"/>
    <row r="124" s="213" customFormat="1"/>
    <row r="125" s="213" customFormat="1"/>
    <row r="126" s="213" customFormat="1"/>
    <row r="127" s="213" customFormat="1"/>
    <row r="128" s="213" customFormat="1"/>
    <row r="129" s="213" customFormat="1"/>
    <row r="130" s="213" customFormat="1"/>
    <row r="131" s="213" customFormat="1"/>
    <row r="132" s="213" customFormat="1"/>
    <row r="133" s="213" customFormat="1"/>
    <row r="134" s="213" customFormat="1"/>
    <row r="135" s="213" customFormat="1"/>
    <row r="136" s="213" customFormat="1"/>
    <row r="137" s="213" customFormat="1"/>
    <row r="138" s="213" customFormat="1"/>
    <row r="139" s="213" customFormat="1"/>
    <row r="140" s="213" customFormat="1"/>
    <row r="141" s="213" customFormat="1"/>
    <row r="142" s="213" customFormat="1"/>
    <row r="143" s="213" customFormat="1"/>
    <row r="144" s="213" customFormat="1"/>
    <row r="145" spans="1:22" s="213" customFormat="1"/>
    <row r="146" spans="1:22" s="213" customFormat="1"/>
    <row r="147" spans="1:22" s="213" customFormat="1"/>
    <row r="148" spans="1:22" s="213" customFormat="1"/>
    <row r="149" spans="1:22" s="213" customFormat="1"/>
    <row r="150" spans="1:22" s="213" customFormat="1"/>
    <row r="151" spans="1:22" s="213" customFormat="1"/>
    <row r="152" spans="1:22" s="213" customFormat="1"/>
    <row r="153" spans="1:22" s="213" customFormat="1"/>
    <row r="154" spans="1:22" s="213" customFormat="1"/>
    <row r="155" spans="1:22" s="213" customFormat="1"/>
    <row r="156" spans="1:22" s="213" customFormat="1"/>
    <row r="157" spans="1:22" s="213" customFormat="1"/>
    <row r="158" spans="1:22" s="213" customFormat="1"/>
    <row r="159" spans="1:22" s="213" customFormat="1"/>
    <row r="160" spans="1:22">
      <c r="A160" s="213"/>
      <c r="B160" s="213"/>
      <c r="C160" s="213"/>
      <c r="D160" s="213"/>
      <c r="E160" s="213"/>
      <c r="F160" s="213"/>
      <c r="G160" s="213"/>
      <c r="H160" s="213"/>
      <c r="I160" s="213"/>
      <c r="J160" s="213"/>
      <c r="K160" s="213"/>
      <c r="L160" s="213"/>
      <c r="M160" s="213"/>
      <c r="N160" s="213"/>
      <c r="O160" s="213"/>
      <c r="P160" s="213"/>
      <c r="Q160" s="213"/>
      <c r="R160" s="213"/>
      <c r="S160" s="213"/>
      <c r="T160" s="213"/>
      <c r="U160" s="213"/>
      <c r="V160" s="213"/>
    </row>
    <row r="161" spans="1:22">
      <c r="A161" s="213"/>
      <c r="B161" s="213"/>
      <c r="C161" s="213"/>
      <c r="D161" s="213"/>
      <c r="E161" s="213"/>
      <c r="F161" s="213"/>
      <c r="G161" s="213"/>
      <c r="H161" s="213"/>
      <c r="I161" s="213"/>
      <c r="J161" s="213"/>
      <c r="K161" s="213"/>
      <c r="L161" s="213"/>
      <c r="M161" s="213"/>
      <c r="N161" s="213"/>
      <c r="O161" s="213"/>
      <c r="P161" s="213"/>
      <c r="Q161" s="213"/>
      <c r="R161" s="213"/>
      <c r="S161" s="213"/>
      <c r="T161" s="213"/>
      <c r="U161" s="213"/>
      <c r="V161" s="213"/>
    </row>
    <row r="162" spans="1:22">
      <c r="A162" s="213"/>
      <c r="B162" s="213"/>
      <c r="C162" s="213"/>
      <c r="D162" s="213"/>
      <c r="E162" s="213"/>
      <c r="F162" s="213"/>
      <c r="G162" s="213"/>
      <c r="H162" s="213"/>
      <c r="I162" s="213"/>
      <c r="J162" s="213"/>
      <c r="K162" s="213"/>
      <c r="L162" s="213"/>
      <c r="M162" s="213"/>
      <c r="N162" s="213"/>
      <c r="O162" s="213"/>
      <c r="P162" s="213"/>
      <c r="Q162" s="213"/>
      <c r="R162" s="213"/>
      <c r="S162" s="213"/>
      <c r="T162" s="213"/>
      <c r="U162" s="213"/>
      <c r="V162" s="213"/>
    </row>
    <row r="163" spans="1:22">
      <c r="A163" s="213"/>
      <c r="B163" s="213"/>
      <c r="C163" s="213"/>
      <c r="D163" s="213"/>
      <c r="E163" s="213"/>
      <c r="F163" s="213"/>
      <c r="G163" s="213"/>
      <c r="H163" s="213"/>
      <c r="I163" s="213"/>
      <c r="J163" s="213"/>
      <c r="K163" s="213"/>
      <c r="L163" s="213"/>
      <c r="M163" s="213"/>
      <c r="N163" s="213"/>
      <c r="O163" s="213"/>
      <c r="P163" s="213"/>
      <c r="Q163" s="213"/>
      <c r="R163" s="213"/>
      <c r="S163" s="213"/>
      <c r="T163" s="213"/>
      <c r="U163" s="213"/>
      <c r="V163" s="213"/>
    </row>
    <row r="164" spans="1:22">
      <c r="A164" s="213"/>
      <c r="B164" s="213"/>
      <c r="C164" s="213"/>
      <c r="D164" s="213"/>
      <c r="E164" s="213"/>
      <c r="F164" s="213"/>
      <c r="G164" s="213"/>
      <c r="H164" s="213"/>
      <c r="I164" s="213"/>
      <c r="J164" s="213"/>
      <c r="K164" s="213"/>
      <c r="L164" s="213"/>
      <c r="M164" s="213"/>
      <c r="N164" s="213"/>
      <c r="O164" s="213"/>
      <c r="P164" s="213"/>
      <c r="Q164" s="213"/>
      <c r="R164" s="213"/>
      <c r="S164" s="213"/>
      <c r="T164" s="213"/>
      <c r="U164" s="213"/>
      <c r="V164" s="213"/>
    </row>
    <row r="165" spans="1:22">
      <c r="A165" s="213"/>
      <c r="B165" s="213"/>
      <c r="C165" s="213"/>
      <c r="D165" s="213"/>
      <c r="E165" s="213"/>
      <c r="F165" s="213"/>
      <c r="G165" s="213"/>
      <c r="H165" s="213"/>
      <c r="I165" s="213"/>
      <c r="J165" s="213"/>
      <c r="K165" s="213"/>
      <c r="L165" s="213"/>
      <c r="M165" s="213"/>
      <c r="N165" s="213"/>
      <c r="O165" s="213"/>
      <c r="P165" s="213"/>
      <c r="Q165" s="213"/>
      <c r="R165" s="213"/>
      <c r="S165" s="213"/>
      <c r="T165" s="213"/>
      <c r="U165" s="213"/>
      <c r="V165" s="213"/>
    </row>
    <row r="166" spans="1:22">
      <c r="A166" s="213"/>
      <c r="B166" s="213"/>
      <c r="C166" s="213"/>
      <c r="D166" s="213"/>
      <c r="E166" s="213"/>
      <c r="F166" s="213"/>
      <c r="G166" s="213"/>
      <c r="H166" s="213"/>
      <c r="I166" s="213"/>
      <c r="J166" s="213"/>
      <c r="K166" s="213"/>
      <c r="L166" s="213"/>
      <c r="M166" s="213"/>
      <c r="N166" s="213"/>
      <c r="O166" s="213"/>
      <c r="P166" s="213"/>
      <c r="Q166" s="213"/>
      <c r="R166" s="213"/>
      <c r="S166" s="213"/>
      <c r="T166" s="213"/>
      <c r="U166" s="213"/>
      <c r="V166" s="213"/>
    </row>
    <row r="167" spans="1:22">
      <c r="A167" s="213"/>
      <c r="B167" s="213"/>
      <c r="C167" s="213"/>
      <c r="D167" s="213"/>
      <c r="E167" s="213"/>
      <c r="F167" s="213"/>
      <c r="G167" s="213"/>
      <c r="H167" s="213"/>
      <c r="I167" s="213"/>
      <c r="J167" s="213"/>
      <c r="K167" s="213"/>
      <c r="L167" s="213"/>
      <c r="M167" s="213"/>
      <c r="N167" s="213"/>
      <c r="O167" s="213"/>
      <c r="P167" s="213"/>
      <c r="Q167" s="213"/>
      <c r="R167" s="213"/>
      <c r="S167" s="213"/>
      <c r="T167" s="213"/>
      <c r="U167" s="213"/>
      <c r="V167" s="213"/>
    </row>
    <row r="168" spans="1:22">
      <c r="A168" s="213"/>
      <c r="B168" s="213"/>
      <c r="C168" s="213"/>
      <c r="D168" s="213"/>
      <c r="E168" s="213"/>
      <c r="F168" s="213"/>
      <c r="G168" s="213"/>
      <c r="H168" s="213"/>
      <c r="I168" s="213"/>
      <c r="J168" s="213"/>
      <c r="K168" s="213"/>
      <c r="L168" s="213"/>
      <c r="M168" s="213"/>
      <c r="N168" s="213"/>
      <c r="O168" s="213"/>
      <c r="P168" s="213"/>
      <c r="Q168" s="213"/>
      <c r="R168" s="213"/>
      <c r="S168" s="213"/>
      <c r="T168" s="213"/>
      <c r="U168" s="213"/>
      <c r="V168" s="213"/>
    </row>
    <row r="169" spans="1:22">
      <c r="A169" s="213"/>
      <c r="B169" s="213"/>
      <c r="C169" s="213"/>
      <c r="D169" s="213"/>
      <c r="E169" s="213"/>
      <c r="F169" s="213"/>
      <c r="G169" s="213"/>
      <c r="H169" s="213"/>
      <c r="I169" s="213"/>
      <c r="J169" s="213"/>
      <c r="K169" s="213"/>
      <c r="L169" s="213"/>
      <c r="M169" s="213"/>
      <c r="N169" s="213"/>
      <c r="O169" s="213"/>
      <c r="P169" s="213"/>
      <c r="Q169" s="213"/>
      <c r="R169" s="213"/>
      <c r="S169" s="213"/>
      <c r="T169" s="213"/>
      <c r="U169" s="213"/>
      <c r="V169" s="213"/>
    </row>
    <row r="170" spans="1:22">
      <c r="A170" s="213"/>
      <c r="B170" s="213"/>
      <c r="C170" s="213"/>
      <c r="D170" s="213"/>
      <c r="E170" s="213"/>
      <c r="F170" s="213"/>
      <c r="G170" s="213"/>
      <c r="H170" s="213"/>
      <c r="I170" s="213"/>
      <c r="J170" s="213"/>
      <c r="K170" s="213"/>
      <c r="L170" s="213"/>
      <c r="M170" s="213"/>
      <c r="N170" s="213"/>
      <c r="O170" s="213"/>
      <c r="P170" s="213"/>
      <c r="Q170" s="213"/>
      <c r="R170" s="213"/>
      <c r="S170" s="213"/>
      <c r="T170" s="213"/>
      <c r="U170" s="213"/>
      <c r="V170" s="213"/>
    </row>
    <row r="171" spans="1:22">
      <c r="A171" s="213"/>
      <c r="B171" s="213"/>
      <c r="C171" s="213"/>
      <c r="D171" s="213"/>
      <c r="E171" s="213"/>
      <c r="F171" s="213"/>
      <c r="G171" s="213"/>
      <c r="H171" s="213"/>
      <c r="I171" s="213"/>
      <c r="J171" s="213"/>
      <c r="K171" s="213"/>
      <c r="L171" s="213"/>
      <c r="M171" s="213"/>
      <c r="N171" s="213"/>
      <c r="O171" s="213"/>
      <c r="P171" s="213"/>
      <c r="Q171" s="213"/>
      <c r="R171" s="213"/>
      <c r="S171" s="213"/>
      <c r="T171" s="213"/>
      <c r="U171" s="213"/>
      <c r="V171" s="213"/>
    </row>
  </sheetData>
  <mergeCells count="19">
    <mergeCell ref="B49:G49"/>
    <mergeCell ref="I49:L49"/>
    <mergeCell ref="V3:V5"/>
    <mergeCell ref="U2:V2"/>
    <mergeCell ref="T1:V1"/>
    <mergeCell ref="H3:J3"/>
    <mergeCell ref="N3:N4"/>
    <mergeCell ref="P3:P4"/>
    <mergeCell ref="A3:A5"/>
    <mergeCell ref="O3:O5"/>
    <mergeCell ref="H1:I1"/>
    <mergeCell ref="L1:N1"/>
    <mergeCell ref="L2:N2"/>
    <mergeCell ref="F1:G1"/>
    <mergeCell ref="K3:M3"/>
    <mergeCell ref="O1:S1"/>
    <mergeCell ref="E3:G3"/>
    <mergeCell ref="Q3:U3"/>
    <mergeCell ref="B3:D3"/>
  </mergeCells>
  <phoneticPr fontId="0" type="noConversion"/>
  <pageMargins left="0.62992125984252001" right="0.511811023622047" top="0.511811023622047" bottom="0.511811023622047" header="0" footer="0.47244094488188998"/>
  <pageSetup paperSize="448" firstPageNumber="28" orientation="portrait" useFirstPageNumber="1" r:id="rId1"/>
  <headerFooter alignWithMargins="0">
    <oddFooter>&amp;C&amp;"Times New Roman,Regular"&amp;8&amp;P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K60"/>
  <sheetViews>
    <sheetView zoomScale="160" zoomScaleNormal="160" workbookViewId="0">
      <pane xSplit="1" ySplit="5" topLeftCell="B47" activePane="bottomRight" state="frozen"/>
      <selection activeCell="F85" sqref="F85"/>
      <selection pane="topRight" activeCell="F85" sqref="F85"/>
      <selection pane="bottomLeft" activeCell="F85" sqref="F85"/>
      <selection pane="bottomRight" activeCell="K49" sqref="K49"/>
    </sheetView>
  </sheetViews>
  <sheetFormatPr defaultRowHeight="12.75"/>
  <cols>
    <col min="1" max="1" width="7.85546875" customWidth="1"/>
    <col min="2" max="2" width="8.28515625" customWidth="1"/>
    <col min="3" max="3" width="9.42578125" customWidth="1"/>
    <col min="5" max="6" width="8.28515625" customWidth="1"/>
    <col min="8" max="8" width="8.5703125" customWidth="1"/>
    <col min="9" max="9" width="8.42578125" customWidth="1"/>
  </cols>
  <sheetData>
    <row r="1" spans="1:9" ht="15.75" customHeight="1">
      <c r="A1" s="2003" t="s">
        <v>1673</v>
      </c>
      <c r="B1" s="2003"/>
      <c r="C1" s="2003"/>
      <c r="D1" s="2003"/>
      <c r="E1" s="2003"/>
      <c r="F1" s="2003"/>
      <c r="G1" s="2003"/>
      <c r="H1" s="190"/>
      <c r="I1" s="191" t="s">
        <v>471</v>
      </c>
    </row>
    <row r="2" spans="1:9" ht="15" customHeight="1">
      <c r="A2" s="2003"/>
      <c r="B2" s="2003"/>
      <c r="C2" s="2003"/>
      <c r="D2" s="2003"/>
      <c r="E2" s="2003"/>
      <c r="F2" s="2003"/>
      <c r="G2" s="2003"/>
      <c r="H2" s="190"/>
    </row>
    <row r="3" spans="1:9" ht="10.5" customHeight="1">
      <c r="A3" s="192"/>
      <c r="B3" s="193"/>
      <c r="C3" s="193"/>
      <c r="D3" s="193"/>
      <c r="F3" s="194"/>
      <c r="H3" s="2004" t="s">
        <v>0</v>
      </c>
      <c r="I3" s="2004"/>
    </row>
    <row r="4" spans="1:9" s="195" customFormat="1" ht="12.95" customHeight="1">
      <c r="A4" s="2005" t="s">
        <v>663</v>
      </c>
      <c r="B4" s="2007" t="s">
        <v>493</v>
      </c>
      <c r="C4" s="2008"/>
      <c r="D4" s="2008"/>
      <c r="E4" s="2009"/>
      <c r="F4" s="2007" t="s">
        <v>494</v>
      </c>
      <c r="G4" s="2008"/>
      <c r="H4" s="2008"/>
      <c r="I4" s="2009"/>
    </row>
    <row r="5" spans="1:9" ht="36">
      <c r="A5" s="2006"/>
      <c r="B5" s="1143" t="s">
        <v>1033</v>
      </c>
      <c r="C5" s="1143" t="s">
        <v>1056</v>
      </c>
      <c r="D5" s="1143" t="s">
        <v>1058</v>
      </c>
      <c r="E5" s="1144" t="s">
        <v>495</v>
      </c>
      <c r="F5" s="1143" t="s">
        <v>1034</v>
      </c>
      <c r="G5" s="1143" t="s">
        <v>1059</v>
      </c>
      <c r="H5" s="1143" t="s">
        <v>1057</v>
      </c>
      <c r="I5" s="1144" t="s">
        <v>496</v>
      </c>
    </row>
    <row r="6" spans="1:9" s="67" customFormat="1" ht="12" customHeight="1">
      <c r="A6" s="388" t="s">
        <v>83</v>
      </c>
      <c r="B6" s="1267">
        <v>515.14</v>
      </c>
      <c r="C6" s="1267">
        <v>331.1</v>
      </c>
      <c r="D6" s="1267">
        <v>66.78</v>
      </c>
      <c r="E6" s="1267">
        <v>913.02</v>
      </c>
      <c r="F6" s="1267">
        <v>5014.96</v>
      </c>
      <c r="G6" s="1267">
        <v>544.21</v>
      </c>
      <c r="H6" s="1267">
        <v>410.29</v>
      </c>
      <c r="I6" s="1269">
        <v>5969.46</v>
      </c>
    </row>
    <row r="7" spans="1:9" s="55" customFormat="1" ht="12" customHeight="1">
      <c r="A7" s="198" t="s">
        <v>225</v>
      </c>
      <c r="B7" s="1272">
        <v>249.95</v>
      </c>
      <c r="C7" s="1272">
        <v>445.19</v>
      </c>
      <c r="D7" s="1272">
        <v>83.9</v>
      </c>
      <c r="E7" s="1265">
        <v>779.04</v>
      </c>
      <c r="F7" s="1272">
        <v>5143.7</v>
      </c>
      <c r="G7" s="1272">
        <v>612.69000000000005</v>
      </c>
      <c r="H7" s="1272">
        <v>462.67</v>
      </c>
      <c r="I7" s="1266">
        <v>6219.0599999999995</v>
      </c>
    </row>
    <row r="8" spans="1:9" s="55" customFormat="1" ht="12" customHeight="1">
      <c r="A8" s="388" t="s">
        <v>972</v>
      </c>
      <c r="B8" s="1267">
        <v>454.09999999999997</v>
      </c>
      <c r="C8" s="1267">
        <v>542.34999999999991</v>
      </c>
      <c r="D8" s="1267">
        <v>198.42999999999998</v>
      </c>
      <c r="E8" s="1267">
        <v>1194.8799999999999</v>
      </c>
      <c r="F8" s="1267">
        <v>4855.47</v>
      </c>
      <c r="G8" s="1267">
        <v>861.44</v>
      </c>
      <c r="H8" s="1267">
        <v>533.95000000000005</v>
      </c>
      <c r="I8" s="1269">
        <v>6250.86</v>
      </c>
    </row>
    <row r="9" spans="1:9" s="55" customFormat="1" ht="12" customHeight="1">
      <c r="A9" s="710" t="s">
        <v>1107</v>
      </c>
      <c r="B9" s="1272">
        <v>761.03</v>
      </c>
      <c r="C9" s="1272">
        <v>645.64</v>
      </c>
      <c r="D9" s="1272">
        <v>323.96000000000004</v>
      </c>
      <c r="E9" s="1265">
        <v>1730.63</v>
      </c>
      <c r="F9" s="1272">
        <v>6333.41</v>
      </c>
      <c r="G9" s="1272">
        <v>995.87</v>
      </c>
      <c r="H9" s="1272">
        <v>1033.78</v>
      </c>
      <c r="I9" s="1266">
        <v>8363.06</v>
      </c>
    </row>
    <row r="10" spans="1:9" s="55" customFormat="1" ht="12" customHeight="1">
      <c r="A10" s="387" t="s">
        <v>1347</v>
      </c>
      <c r="B10" s="1273">
        <v>233.83999999999997</v>
      </c>
      <c r="C10" s="1273">
        <v>795.78</v>
      </c>
      <c r="D10" s="1273">
        <v>450.71999999999997</v>
      </c>
      <c r="E10" s="1273">
        <v>1480.34</v>
      </c>
      <c r="F10" s="1273">
        <v>6375.35</v>
      </c>
      <c r="G10" s="1273">
        <v>964.83</v>
      </c>
      <c r="H10" s="1273">
        <v>2000.05</v>
      </c>
      <c r="I10" s="1274">
        <v>9340.23</v>
      </c>
    </row>
    <row r="11" spans="1:9" s="55" customFormat="1" ht="12" customHeight="1">
      <c r="A11" s="304" t="s">
        <v>1406</v>
      </c>
      <c r="B11" s="1270">
        <f>B12+B13</f>
        <v>528.03</v>
      </c>
      <c r="C11" s="1270">
        <f>C12+C13</f>
        <v>1141.3400000000001</v>
      </c>
      <c r="D11" s="1270">
        <f>D12+D13</f>
        <v>164.5</v>
      </c>
      <c r="E11" s="1271">
        <f t="shared" ref="E11:E12" si="0">SUM(B11:D11)</f>
        <v>1833.8700000000001</v>
      </c>
      <c r="F11" s="595">
        <f>F13</f>
        <v>9027.07</v>
      </c>
      <c r="G11" s="595">
        <f>G13</f>
        <v>1326.11</v>
      </c>
      <c r="H11" s="595">
        <f>H13</f>
        <v>2147.9499999999998</v>
      </c>
      <c r="I11" s="595">
        <f>I13</f>
        <v>12501.130000000001</v>
      </c>
    </row>
    <row r="12" spans="1:9" s="55" customFormat="1" ht="12" customHeight="1">
      <c r="A12" s="388" t="s">
        <v>413</v>
      </c>
      <c r="B12" s="1267">
        <v>170.23000000000002</v>
      </c>
      <c r="C12" s="1267">
        <v>545.69000000000005</v>
      </c>
      <c r="D12" s="1267">
        <v>21.090000000000003</v>
      </c>
      <c r="E12" s="1268">
        <f t="shared" si="0"/>
        <v>737.0100000000001</v>
      </c>
      <c r="F12" s="393">
        <v>6717.59</v>
      </c>
      <c r="G12" s="393">
        <v>1142.17</v>
      </c>
      <c r="H12" s="393">
        <v>2169.04</v>
      </c>
      <c r="I12" s="1268">
        <f t="shared" ref="I12:I15" si="1">SUM(F12:H12)</f>
        <v>10028.799999999999</v>
      </c>
    </row>
    <row r="13" spans="1:9" s="55" customFormat="1" ht="12" customHeight="1">
      <c r="A13" s="305" t="s">
        <v>414</v>
      </c>
      <c r="B13" s="1272">
        <v>357.8</v>
      </c>
      <c r="C13" s="1272">
        <v>595.65</v>
      </c>
      <c r="D13" s="1272">
        <v>143.41</v>
      </c>
      <c r="E13" s="1272">
        <f t="shared" ref="E13:E16" si="2">SUM(B13:D13)</f>
        <v>1096.8600000000001</v>
      </c>
      <c r="F13" s="319">
        <v>9027.07</v>
      </c>
      <c r="G13" s="319">
        <v>1326.11</v>
      </c>
      <c r="H13" s="319">
        <v>2147.9499999999998</v>
      </c>
      <c r="I13" s="1266">
        <f t="shared" si="1"/>
        <v>12501.130000000001</v>
      </c>
    </row>
    <row r="14" spans="1:9" s="55" customFormat="1" ht="12" customHeight="1">
      <c r="A14" s="796" t="s">
        <v>1560</v>
      </c>
      <c r="B14" s="1273">
        <f>B15+B16</f>
        <v>505.55</v>
      </c>
      <c r="C14" s="1273">
        <f>C15+C16</f>
        <v>1154.4499999999998</v>
      </c>
      <c r="D14" s="1273">
        <f>D15+D16</f>
        <v>343.53</v>
      </c>
      <c r="E14" s="1273">
        <f t="shared" si="2"/>
        <v>2003.5299999999997</v>
      </c>
      <c r="F14" s="594">
        <f>F16</f>
        <v>9549.39</v>
      </c>
      <c r="G14" s="594">
        <f t="shared" ref="G14:I14" si="3">G16</f>
        <v>1585.21</v>
      </c>
      <c r="H14" s="594">
        <f t="shared" si="3"/>
        <v>2311.54</v>
      </c>
      <c r="I14" s="594">
        <f t="shared" si="3"/>
        <v>13446.14</v>
      </c>
    </row>
    <row r="15" spans="1:9" s="55" customFormat="1" ht="12" customHeight="1">
      <c r="A15" s="305" t="s">
        <v>413</v>
      </c>
      <c r="B15" s="1272">
        <v>338.87</v>
      </c>
      <c r="C15" s="1272">
        <v>549.08999999999992</v>
      </c>
      <c r="D15" s="1272">
        <v>250.57</v>
      </c>
      <c r="E15" s="1272">
        <f t="shared" si="2"/>
        <v>1138.53</v>
      </c>
      <c r="F15" s="319">
        <v>9276.15</v>
      </c>
      <c r="G15" s="319">
        <v>1325.46</v>
      </c>
      <c r="H15" s="319">
        <v>2310.5300000000002</v>
      </c>
      <c r="I15" s="1266">
        <f t="shared" si="1"/>
        <v>12912.140000000001</v>
      </c>
    </row>
    <row r="16" spans="1:9" s="55" customFormat="1" ht="12" customHeight="1">
      <c r="A16" s="781" t="s">
        <v>414</v>
      </c>
      <c r="B16" s="1267">
        <v>166.68</v>
      </c>
      <c r="C16" s="1267">
        <v>605.36</v>
      </c>
      <c r="D16" s="1267">
        <v>92.960000000000008</v>
      </c>
      <c r="E16" s="1268">
        <f t="shared" si="2"/>
        <v>865</v>
      </c>
      <c r="F16" s="393">
        <v>9549.39</v>
      </c>
      <c r="G16" s="393">
        <v>1585.21</v>
      </c>
      <c r="H16" s="393">
        <v>2311.54</v>
      </c>
      <c r="I16" s="1268">
        <v>13446.14</v>
      </c>
    </row>
    <row r="17" spans="1:9" s="55" customFormat="1" ht="12" customHeight="1">
      <c r="A17" s="304" t="s">
        <v>1596</v>
      </c>
      <c r="B17" s="1270">
        <f>B18+B21</f>
        <v>1006.74</v>
      </c>
      <c r="C17" s="1270">
        <f>C18+C21</f>
        <v>1253</v>
      </c>
      <c r="D17" s="1270">
        <f>D18+D21</f>
        <v>195.07</v>
      </c>
      <c r="E17" s="1270">
        <f t="shared" ref="E17" si="4">SUM(B17:D17)</f>
        <v>2454.81</v>
      </c>
      <c r="F17" s="595">
        <f>F23</f>
        <v>9527.51</v>
      </c>
      <c r="G17" s="595">
        <f>G23</f>
        <v>2699.93</v>
      </c>
      <c r="H17" s="595">
        <f>H23</f>
        <v>2239.13</v>
      </c>
      <c r="I17" s="1275">
        <f t="shared" ref="I17" si="5">SUM(F17:H17)</f>
        <v>14466.57</v>
      </c>
    </row>
    <row r="18" spans="1:9" s="55" customFormat="1" ht="12" customHeight="1">
      <c r="A18" s="781" t="s">
        <v>413</v>
      </c>
      <c r="B18" s="1267">
        <f>B19+B20</f>
        <v>744.7</v>
      </c>
      <c r="C18" s="1267">
        <f>C19+C20</f>
        <v>610.03</v>
      </c>
      <c r="D18" s="1267">
        <f>D19+D20</f>
        <v>112.99000000000001</v>
      </c>
      <c r="E18" s="1268">
        <f t="shared" ref="E18" si="6">SUM(B18:D18)</f>
        <v>1467.72</v>
      </c>
      <c r="F18" s="393">
        <v>10735.38</v>
      </c>
      <c r="G18" s="393">
        <v>1640.2</v>
      </c>
      <c r="H18" s="393">
        <v>2163.7399999999998</v>
      </c>
      <c r="I18" s="1268">
        <f>SUM(F18:H18)</f>
        <v>14539.32</v>
      </c>
    </row>
    <row r="19" spans="1:9" s="55" customFormat="1" ht="12" customHeight="1">
      <c r="A19" s="305" t="s">
        <v>1576</v>
      </c>
      <c r="B19" s="1272">
        <v>258.52</v>
      </c>
      <c r="C19" s="1272">
        <v>294.55</v>
      </c>
      <c r="D19" s="1272">
        <v>60.92</v>
      </c>
      <c r="E19" s="1272">
        <f t="shared" ref="E19" si="7">SUM(B19:D19)</f>
        <v>613.9899999999999</v>
      </c>
      <c r="F19" s="319">
        <v>9846.48</v>
      </c>
      <c r="G19" s="319">
        <v>1517.16</v>
      </c>
      <c r="H19" s="319">
        <v>2430.59</v>
      </c>
      <c r="I19" s="1266">
        <f>SUM(F19:H19)</f>
        <v>13794.23</v>
      </c>
    </row>
    <row r="20" spans="1:9" s="55" customFormat="1" ht="12" customHeight="1">
      <c r="A20" s="781" t="s">
        <v>1719</v>
      </c>
      <c r="B20" s="1267">
        <v>486.18</v>
      </c>
      <c r="C20" s="1267">
        <v>315.48</v>
      </c>
      <c r="D20" s="1267">
        <v>52.07</v>
      </c>
      <c r="E20" s="1267">
        <f t="shared" ref="E20" si="8">SUM(B20:D20)</f>
        <v>853.73000000000013</v>
      </c>
      <c r="F20" s="393">
        <v>10735.38</v>
      </c>
      <c r="G20" s="393">
        <v>1640.2</v>
      </c>
      <c r="H20" s="393">
        <v>2163.7399999999998</v>
      </c>
      <c r="I20" s="1268">
        <f>SUM(F20:H20)</f>
        <v>14539.32</v>
      </c>
    </row>
    <row r="21" spans="1:9" s="494" customFormat="1" ht="12" customHeight="1">
      <c r="A21" s="305" t="s">
        <v>414</v>
      </c>
      <c r="B21" s="1272">
        <f>B22+B23</f>
        <v>262.03999999999996</v>
      </c>
      <c r="C21" s="1272">
        <f>C22+C23</f>
        <v>642.97</v>
      </c>
      <c r="D21" s="1272">
        <f>D22+D23</f>
        <v>82.08</v>
      </c>
      <c r="E21" s="1266">
        <f t="shared" ref="E21" si="9">SUM(B21:D21)</f>
        <v>987.09</v>
      </c>
      <c r="F21" s="319">
        <f>F23</f>
        <v>9527.51</v>
      </c>
      <c r="G21" s="319">
        <f>G23</f>
        <v>2699.93</v>
      </c>
      <c r="H21" s="319">
        <f>H23</f>
        <v>2239.13</v>
      </c>
      <c r="I21" s="1266">
        <f t="shared" ref="I21" si="10">SUM(F21:H21)</f>
        <v>14466.57</v>
      </c>
    </row>
    <row r="22" spans="1:9" s="55" customFormat="1" ht="12" customHeight="1">
      <c r="A22" s="781" t="s">
        <v>1574</v>
      </c>
      <c r="B22" s="1267">
        <v>140.35</v>
      </c>
      <c r="C22" s="1267">
        <v>319.3</v>
      </c>
      <c r="D22" s="1267">
        <v>36.19</v>
      </c>
      <c r="E22" s="1267">
        <f t="shared" ref="E22:E48" si="11">SUM(B22:D22)</f>
        <v>495.84</v>
      </c>
      <c r="F22" s="393">
        <v>9528.91</v>
      </c>
      <c r="G22" s="393">
        <v>2705.15</v>
      </c>
      <c r="H22" s="393">
        <v>2144.1</v>
      </c>
      <c r="I22" s="1267">
        <f>SUM(F22:H22)</f>
        <v>14378.16</v>
      </c>
    </row>
    <row r="23" spans="1:9" s="55" customFormat="1" ht="12" customHeight="1">
      <c r="A23" s="305" t="s">
        <v>1575</v>
      </c>
      <c r="B23" s="1272">
        <v>121.69</v>
      </c>
      <c r="C23" s="1272">
        <v>323.67</v>
      </c>
      <c r="D23" s="1272">
        <v>45.89</v>
      </c>
      <c r="E23" s="1272">
        <f t="shared" si="11"/>
        <v>491.25</v>
      </c>
      <c r="F23" s="319">
        <v>9527.51</v>
      </c>
      <c r="G23" s="319">
        <v>2699.93</v>
      </c>
      <c r="H23" s="319">
        <v>2239.13</v>
      </c>
      <c r="I23" s="1272">
        <f>SUM(F23:H23)</f>
        <v>14466.57</v>
      </c>
    </row>
    <row r="24" spans="1:9" s="55" customFormat="1" ht="12" customHeight="1">
      <c r="A24" s="387" t="s">
        <v>1756</v>
      </c>
      <c r="B24" s="1273">
        <f>B25+B28</f>
        <v>614.76</v>
      </c>
      <c r="C24" s="1273">
        <f>C25+C28</f>
        <v>1253.44</v>
      </c>
      <c r="D24" s="1273">
        <f>D25+D28</f>
        <v>712.24</v>
      </c>
      <c r="E24" s="1273">
        <f t="shared" ref="E24" si="12">SUM(B24:D24)</f>
        <v>2580.44</v>
      </c>
      <c r="F24" s="594">
        <f>F30</f>
        <v>9895.7800000000007</v>
      </c>
      <c r="G24" s="594">
        <f>G30</f>
        <v>3080.35</v>
      </c>
      <c r="H24" s="594">
        <f>H30</f>
        <v>2815.21</v>
      </c>
      <c r="I24" s="1274">
        <f t="shared" ref="I24" si="13">SUM(F24:H24)</f>
        <v>15791.34</v>
      </c>
    </row>
    <row r="25" spans="1:9" s="494" customFormat="1" ht="12" customHeight="1">
      <c r="A25" s="305" t="s">
        <v>413</v>
      </c>
      <c r="B25" s="1272">
        <f>B26+B27</f>
        <v>276.86</v>
      </c>
      <c r="C25" s="1272">
        <f>C26+C27</f>
        <v>636.45000000000005</v>
      </c>
      <c r="D25" s="1272">
        <f>D26+D27</f>
        <v>251.16000000000003</v>
      </c>
      <c r="E25" s="1266">
        <f t="shared" ref="E25" si="14">SUM(B25:D25)</f>
        <v>1164.47</v>
      </c>
      <c r="F25" s="319">
        <v>9601.6299999999992</v>
      </c>
      <c r="G25" s="319">
        <v>2697.3</v>
      </c>
      <c r="H25" s="319">
        <v>2258.29</v>
      </c>
      <c r="I25" s="1266">
        <v>14557.220000000001</v>
      </c>
    </row>
    <row r="26" spans="1:9" s="494" customFormat="1" ht="12" customHeight="1">
      <c r="A26" s="781" t="s">
        <v>1576</v>
      </c>
      <c r="B26" s="1267">
        <v>154.41</v>
      </c>
      <c r="C26" s="1267">
        <v>291.88</v>
      </c>
      <c r="D26" s="1267">
        <v>60.86</v>
      </c>
      <c r="E26" s="1267">
        <f t="shared" si="11"/>
        <v>507.15</v>
      </c>
      <c r="F26" s="393">
        <v>9696.59</v>
      </c>
      <c r="G26" s="393">
        <v>2787.24</v>
      </c>
      <c r="H26" s="393">
        <v>2263.13</v>
      </c>
      <c r="I26" s="393">
        <f>SUM(F26:H26)</f>
        <v>14746.96</v>
      </c>
    </row>
    <row r="27" spans="1:9" s="494" customFormat="1" ht="12" customHeight="1">
      <c r="A27" s="305" t="s">
        <v>1719</v>
      </c>
      <c r="B27" s="1272">
        <v>122.45</v>
      </c>
      <c r="C27" s="1272">
        <v>344.57</v>
      </c>
      <c r="D27" s="1272">
        <v>190.3</v>
      </c>
      <c r="E27" s="1272">
        <f t="shared" si="11"/>
        <v>657.31999999999994</v>
      </c>
      <c r="F27" s="319">
        <v>9601.6299999999992</v>
      </c>
      <c r="G27" s="319">
        <v>2697.3</v>
      </c>
      <c r="H27" s="319">
        <v>2258.29</v>
      </c>
      <c r="I27" s="319">
        <f>SUM(F27:H27)</f>
        <v>14557.220000000001</v>
      </c>
    </row>
    <row r="28" spans="1:9" s="494" customFormat="1" ht="12" customHeight="1">
      <c r="A28" s="781" t="s">
        <v>414</v>
      </c>
      <c r="B28" s="1267">
        <f>B29+B30</f>
        <v>337.9</v>
      </c>
      <c r="C28" s="1267">
        <f>C29+C30</f>
        <v>616.99</v>
      </c>
      <c r="D28" s="1267">
        <f>D29+D30</f>
        <v>461.08000000000004</v>
      </c>
      <c r="E28" s="1268">
        <f t="shared" si="11"/>
        <v>1415.97</v>
      </c>
      <c r="F28" s="393">
        <f>F30</f>
        <v>9895.7800000000007</v>
      </c>
      <c r="G28" s="393">
        <f t="shared" ref="G28:H28" si="15">G30</f>
        <v>3080.35</v>
      </c>
      <c r="H28" s="393">
        <f t="shared" si="15"/>
        <v>2815.21</v>
      </c>
      <c r="I28" s="393">
        <f>SUM(F28:H28)</f>
        <v>15791.34</v>
      </c>
    </row>
    <row r="29" spans="1:9" s="494" customFormat="1" ht="12" customHeight="1">
      <c r="A29" s="305" t="s">
        <v>1574</v>
      </c>
      <c r="B29" s="319">
        <v>111.22</v>
      </c>
      <c r="C29" s="319">
        <v>324.95999999999998</v>
      </c>
      <c r="D29" s="319">
        <v>67.599999999999994</v>
      </c>
      <c r="E29" s="319">
        <f t="shared" si="11"/>
        <v>503.78</v>
      </c>
      <c r="F29" s="319">
        <v>9470.5</v>
      </c>
      <c r="G29" s="319">
        <v>2885.89</v>
      </c>
      <c r="H29" s="319">
        <v>2283.5</v>
      </c>
      <c r="I29" s="319">
        <f>SUM(F29:H29)</f>
        <v>14639.89</v>
      </c>
    </row>
    <row r="30" spans="1:9" s="494" customFormat="1" ht="12" customHeight="1">
      <c r="A30" s="781" t="s">
        <v>1575</v>
      </c>
      <c r="B30" s="393">
        <v>226.68</v>
      </c>
      <c r="C30" s="393">
        <v>292.02999999999997</v>
      </c>
      <c r="D30" s="393">
        <v>393.48</v>
      </c>
      <c r="E30" s="393">
        <f t="shared" si="11"/>
        <v>912.19</v>
      </c>
      <c r="F30" s="393">
        <v>9895.7800000000007</v>
      </c>
      <c r="G30" s="393">
        <v>3080.35</v>
      </c>
      <c r="H30" s="393">
        <v>2815.21</v>
      </c>
      <c r="I30" s="393">
        <f>SUM(F30:H30)</f>
        <v>15791.34</v>
      </c>
    </row>
    <row r="31" spans="1:9" s="494" customFormat="1" ht="12" customHeight="1">
      <c r="A31" s="1014" t="s">
        <v>1904</v>
      </c>
      <c r="B31" s="1270">
        <f>B32+B35</f>
        <v>1195.2</v>
      </c>
      <c r="C31" s="1270">
        <f>C32+C35</f>
        <v>1363.4599999999998</v>
      </c>
      <c r="D31" s="1270">
        <f>D32+D35</f>
        <v>1330.33</v>
      </c>
      <c r="E31" s="1270">
        <f t="shared" si="11"/>
        <v>3888.99</v>
      </c>
      <c r="F31" s="595">
        <f>F37</f>
        <v>11775.91</v>
      </c>
      <c r="G31" s="595">
        <f>G37</f>
        <v>3021.77</v>
      </c>
      <c r="H31" s="595">
        <f>H37</f>
        <v>3882.53</v>
      </c>
      <c r="I31" s="1275">
        <f t="shared" ref="I31" si="16">SUM(F31:H31)</f>
        <v>18680.21</v>
      </c>
    </row>
    <row r="32" spans="1:9" s="494" customFormat="1" ht="12" customHeight="1">
      <c r="A32" s="781" t="s">
        <v>413</v>
      </c>
      <c r="B32" s="1267">
        <f>B33+B34</f>
        <v>786.23</v>
      </c>
      <c r="C32" s="1267">
        <f>C33+C34</f>
        <v>692.11999999999989</v>
      </c>
      <c r="D32" s="1267">
        <f>D33+D34</f>
        <v>718.98</v>
      </c>
      <c r="E32" s="1268">
        <f t="shared" ref="E32" si="17">SUM(B32:D32)</f>
        <v>2197.33</v>
      </c>
      <c r="F32" s="393">
        <v>10865.73</v>
      </c>
      <c r="G32" s="393">
        <v>2721.98</v>
      </c>
      <c r="H32" s="393">
        <v>3473.92</v>
      </c>
      <c r="I32" s="393">
        <f>SUM(F32:H32)</f>
        <v>17061.629999999997</v>
      </c>
    </row>
    <row r="33" spans="1:11" s="494" customFormat="1" ht="12" customHeight="1">
      <c r="A33" s="305" t="s">
        <v>1576</v>
      </c>
      <c r="B33" s="319">
        <v>267.47000000000003</v>
      </c>
      <c r="C33" s="319">
        <v>311.27999999999997</v>
      </c>
      <c r="D33" s="319">
        <v>270.87</v>
      </c>
      <c r="E33" s="319">
        <f t="shared" si="11"/>
        <v>849.62</v>
      </c>
      <c r="F33" s="319">
        <v>10364.040000000001</v>
      </c>
      <c r="G33" s="319">
        <v>3076.04</v>
      </c>
      <c r="H33" s="319">
        <v>3202.41</v>
      </c>
      <c r="I33" s="319">
        <f>SUM(F33:H33)</f>
        <v>16642.490000000002</v>
      </c>
    </row>
    <row r="34" spans="1:11" s="494" customFormat="1" ht="12" customHeight="1">
      <c r="A34" s="781" t="s">
        <v>1719</v>
      </c>
      <c r="B34" s="393">
        <v>518.76</v>
      </c>
      <c r="C34" s="393">
        <v>380.84</v>
      </c>
      <c r="D34" s="393">
        <v>448.11</v>
      </c>
      <c r="E34" s="393">
        <f t="shared" si="11"/>
        <v>1347.71</v>
      </c>
      <c r="F34" s="393">
        <v>10865.73</v>
      </c>
      <c r="G34" s="393">
        <v>2721.98</v>
      </c>
      <c r="H34" s="393">
        <v>3473.92</v>
      </c>
      <c r="I34" s="393">
        <f>SUM(F34:H34)</f>
        <v>17061.629999999997</v>
      </c>
    </row>
    <row r="35" spans="1:11" s="494" customFormat="1" ht="12" customHeight="1">
      <c r="A35" s="305" t="s">
        <v>414</v>
      </c>
      <c r="B35" s="1272">
        <f>B36+B37</f>
        <v>408.97</v>
      </c>
      <c r="C35" s="1272">
        <f>C36+C37</f>
        <v>671.33999999999992</v>
      </c>
      <c r="D35" s="1272">
        <f>D36+D37</f>
        <v>611.35</v>
      </c>
      <c r="E35" s="1266">
        <f t="shared" ref="E35" si="18">SUM(B35:D35)</f>
        <v>1691.6599999999999</v>
      </c>
      <c r="F35" s="319">
        <f>F37</f>
        <v>11775.91</v>
      </c>
      <c r="G35" s="319">
        <f t="shared" ref="G35:H35" si="19">G37</f>
        <v>3021.77</v>
      </c>
      <c r="H35" s="319">
        <f t="shared" si="19"/>
        <v>3882.53</v>
      </c>
      <c r="I35" s="319">
        <f t="shared" ref="I35:I48" si="20">SUM(F35:H35)</f>
        <v>18680.21</v>
      </c>
    </row>
    <row r="36" spans="1:11" s="494" customFormat="1" ht="12" customHeight="1">
      <c r="A36" s="781" t="s">
        <v>1574</v>
      </c>
      <c r="B36" s="393">
        <v>191.01</v>
      </c>
      <c r="C36" s="393">
        <v>364.82</v>
      </c>
      <c r="D36" s="393">
        <v>479.73</v>
      </c>
      <c r="E36" s="393">
        <f t="shared" si="11"/>
        <v>1035.56</v>
      </c>
      <c r="F36" s="393">
        <v>11588.82</v>
      </c>
      <c r="G36" s="393">
        <v>2880.06</v>
      </c>
      <c r="H36" s="393">
        <v>3716.13</v>
      </c>
      <c r="I36" s="393">
        <f t="shared" si="20"/>
        <v>18185.009999999998</v>
      </c>
    </row>
    <row r="37" spans="1:11" s="494" customFormat="1" ht="12" customHeight="1">
      <c r="A37" s="305" t="s">
        <v>1575</v>
      </c>
      <c r="B37" s="319">
        <v>217.96</v>
      </c>
      <c r="C37" s="319">
        <v>306.52</v>
      </c>
      <c r="D37" s="319">
        <v>131.62</v>
      </c>
      <c r="E37" s="319">
        <f t="shared" si="11"/>
        <v>656.1</v>
      </c>
      <c r="F37" s="319">
        <v>11775.91</v>
      </c>
      <c r="G37" s="319">
        <v>3021.77</v>
      </c>
      <c r="H37" s="319">
        <v>3882.53</v>
      </c>
      <c r="I37" s="319">
        <f t="shared" si="20"/>
        <v>18680.21</v>
      </c>
    </row>
    <row r="38" spans="1:11" s="494" customFormat="1" ht="12" customHeight="1">
      <c r="A38" s="796" t="s">
        <v>2017</v>
      </c>
      <c r="B38" s="1273">
        <f>B39+B42</f>
        <v>727.93000000000006</v>
      </c>
      <c r="C38" s="1273">
        <f t="shared" ref="C38:D38" si="21">C39+C42</f>
        <v>1510.09</v>
      </c>
      <c r="D38" s="1273">
        <f t="shared" si="21"/>
        <v>132.43</v>
      </c>
      <c r="E38" s="1273">
        <f t="shared" si="11"/>
        <v>2370.4499999999998</v>
      </c>
      <c r="F38" s="594">
        <f>F44</f>
        <v>12558.23</v>
      </c>
      <c r="G38" s="594">
        <f>G44</f>
        <v>3224.42</v>
      </c>
      <c r="H38" s="594">
        <f>H44</f>
        <v>2939.04</v>
      </c>
      <c r="I38" s="1274">
        <f t="shared" si="20"/>
        <v>18721.689999999999</v>
      </c>
    </row>
    <row r="39" spans="1:11" s="494" customFormat="1" ht="12" customHeight="1">
      <c r="A39" s="305" t="s">
        <v>413</v>
      </c>
      <c r="B39" s="1272">
        <f>B40+B41</f>
        <v>394.73</v>
      </c>
      <c r="C39" s="1272">
        <f>C40+C41</f>
        <v>796.01</v>
      </c>
      <c r="D39" s="1272">
        <f>D40+D41</f>
        <v>-8.4500000000000028</v>
      </c>
      <c r="E39" s="1266">
        <f t="shared" ref="E39" si="22">SUM(B39:D39)</f>
        <v>1182.29</v>
      </c>
      <c r="F39" s="319">
        <v>12220.87</v>
      </c>
      <c r="G39" s="319">
        <v>3011.48</v>
      </c>
      <c r="H39" s="319">
        <v>2552.63</v>
      </c>
      <c r="I39" s="319">
        <f t="shared" si="20"/>
        <v>17784.98</v>
      </c>
    </row>
    <row r="40" spans="1:11" s="494" customFormat="1" ht="12" customHeight="1">
      <c r="A40" s="781" t="s">
        <v>1576</v>
      </c>
      <c r="B40" s="393">
        <v>193.82</v>
      </c>
      <c r="C40" s="393">
        <v>328.44</v>
      </c>
      <c r="D40" s="393">
        <v>-60.06</v>
      </c>
      <c r="E40" s="393">
        <f t="shared" si="11"/>
        <v>462.2</v>
      </c>
      <c r="F40" s="393">
        <v>11892.25</v>
      </c>
      <c r="G40" s="393">
        <v>2954.37</v>
      </c>
      <c r="H40" s="393">
        <v>2464.1799999999998</v>
      </c>
      <c r="I40" s="393">
        <f t="shared" si="20"/>
        <v>17310.8</v>
      </c>
      <c r="K40" s="1173"/>
    </row>
    <row r="41" spans="1:11" s="494" customFormat="1" ht="12" customHeight="1">
      <c r="A41" s="305" t="s">
        <v>1719</v>
      </c>
      <c r="B41" s="319">
        <v>200.91</v>
      </c>
      <c r="C41" s="319">
        <v>467.57</v>
      </c>
      <c r="D41" s="319">
        <v>51.61</v>
      </c>
      <c r="E41" s="319">
        <f t="shared" si="11"/>
        <v>720.09</v>
      </c>
      <c r="F41" s="319">
        <v>12220.87</v>
      </c>
      <c r="G41" s="319">
        <v>3011.48</v>
      </c>
      <c r="H41" s="319">
        <v>2552.63</v>
      </c>
      <c r="I41" s="319">
        <f t="shared" si="20"/>
        <v>17784.98</v>
      </c>
    </row>
    <row r="42" spans="1:11" s="494" customFormat="1" ht="12" customHeight="1">
      <c r="A42" s="781" t="s">
        <v>414</v>
      </c>
      <c r="B42" s="1267">
        <f>B43+B44</f>
        <v>333.2</v>
      </c>
      <c r="C42" s="1267">
        <f t="shared" ref="C42:D42" si="23">C43+C44</f>
        <v>714.07999999999993</v>
      </c>
      <c r="D42" s="1267">
        <f t="shared" si="23"/>
        <v>140.88</v>
      </c>
      <c r="E42" s="393">
        <f t="shared" si="11"/>
        <v>1188.1599999999999</v>
      </c>
      <c r="F42" s="393">
        <f>F44</f>
        <v>12558.23</v>
      </c>
      <c r="G42" s="393">
        <f t="shared" ref="G42:H42" si="24">G44</f>
        <v>3224.42</v>
      </c>
      <c r="H42" s="393">
        <f t="shared" si="24"/>
        <v>2939.04</v>
      </c>
      <c r="I42" s="393">
        <f t="shared" si="20"/>
        <v>18721.689999999999</v>
      </c>
    </row>
    <row r="43" spans="1:11" s="494" customFormat="1" ht="12" customHeight="1">
      <c r="A43" s="305" t="s">
        <v>1574</v>
      </c>
      <c r="B43" s="319">
        <v>178.98</v>
      </c>
      <c r="C43" s="319">
        <v>410.93</v>
      </c>
      <c r="D43" s="319">
        <v>-7.74</v>
      </c>
      <c r="E43" s="319">
        <f t="shared" si="11"/>
        <v>582.16999999999996</v>
      </c>
      <c r="F43" s="319">
        <v>12389.63</v>
      </c>
      <c r="G43" s="319">
        <v>3411.16</v>
      </c>
      <c r="H43" s="319">
        <v>3058.03</v>
      </c>
      <c r="I43" s="319">
        <f t="shared" si="20"/>
        <v>18858.82</v>
      </c>
    </row>
    <row r="44" spans="1:11" s="494" customFormat="1" ht="12" customHeight="1">
      <c r="A44" s="781" t="s">
        <v>1575</v>
      </c>
      <c r="B44" s="393">
        <v>154.22</v>
      </c>
      <c r="C44" s="393">
        <v>303.14999999999998</v>
      </c>
      <c r="D44" s="393">
        <v>148.62</v>
      </c>
      <c r="E44" s="393">
        <f t="shared" si="11"/>
        <v>605.99</v>
      </c>
      <c r="F44" s="393">
        <v>12558.23</v>
      </c>
      <c r="G44" s="393">
        <v>3224.42</v>
      </c>
      <c r="H44" s="393">
        <v>2939.04</v>
      </c>
      <c r="I44" s="393">
        <f t="shared" si="20"/>
        <v>18721.689999999999</v>
      </c>
    </row>
    <row r="45" spans="1:11" s="494" customFormat="1" ht="12" customHeight="1">
      <c r="A45" s="1014" t="s">
        <v>2114</v>
      </c>
      <c r="B45" s="319"/>
      <c r="C45" s="319"/>
      <c r="D45" s="319"/>
      <c r="E45" s="319"/>
      <c r="F45" s="319"/>
      <c r="G45" s="319"/>
      <c r="H45" s="319"/>
      <c r="I45" s="319"/>
    </row>
    <row r="46" spans="1:11" s="494" customFormat="1" ht="12" customHeight="1">
      <c r="A46" s="781" t="s">
        <v>413</v>
      </c>
      <c r="B46" s="1267">
        <f>B47+B48</f>
        <v>509.09000000000003</v>
      </c>
      <c r="C46" s="1267">
        <f t="shared" ref="C46:D46" si="25">C47+C48</f>
        <v>852.04</v>
      </c>
      <c r="D46" s="1267">
        <f t="shared" si="25"/>
        <v>14.290000000000001</v>
      </c>
      <c r="E46" s="1268">
        <f t="shared" ref="E46" si="26">SUM(B46:D46)</f>
        <v>1375.42</v>
      </c>
      <c r="F46" s="1267">
        <v>13229.07</v>
      </c>
      <c r="G46" s="1267">
        <v>3325.36</v>
      </c>
      <c r="H46" s="1267">
        <v>2840.33</v>
      </c>
      <c r="I46" s="393">
        <f t="shared" si="20"/>
        <v>19394.760000000002</v>
      </c>
    </row>
    <row r="47" spans="1:11" s="494" customFormat="1" ht="12" customHeight="1">
      <c r="A47" s="305" t="s">
        <v>1576</v>
      </c>
      <c r="B47" s="319">
        <v>138.72</v>
      </c>
      <c r="C47" s="319">
        <v>405.51</v>
      </c>
      <c r="D47" s="319">
        <v>3.33</v>
      </c>
      <c r="E47" s="319">
        <f t="shared" si="11"/>
        <v>547.56000000000006</v>
      </c>
      <c r="F47" s="319">
        <v>12744.5</v>
      </c>
      <c r="G47" s="319">
        <v>3258.61</v>
      </c>
      <c r="H47" s="319">
        <v>2654.37</v>
      </c>
      <c r="I47" s="319">
        <f t="shared" si="20"/>
        <v>18657.48</v>
      </c>
      <c r="K47" s="1173"/>
    </row>
    <row r="48" spans="1:11" s="494" customFormat="1" ht="12" customHeight="1" thickBot="1">
      <c r="A48" s="1205" t="s">
        <v>1719</v>
      </c>
      <c r="B48" s="421">
        <v>370.37</v>
      </c>
      <c r="C48" s="421">
        <v>446.53</v>
      </c>
      <c r="D48" s="421">
        <v>10.96</v>
      </c>
      <c r="E48" s="421">
        <f t="shared" si="11"/>
        <v>827.86</v>
      </c>
      <c r="F48" s="421">
        <v>13229.07</v>
      </c>
      <c r="G48" s="421">
        <v>3325.36</v>
      </c>
      <c r="H48" s="421">
        <v>2840.33</v>
      </c>
      <c r="I48" s="421">
        <f t="shared" si="20"/>
        <v>19394.760000000002</v>
      </c>
    </row>
    <row r="49" spans="1:9" s="286" customFormat="1" ht="10.5" customHeight="1">
      <c r="A49" s="304" t="s">
        <v>796</v>
      </c>
      <c r="B49" s="2001" t="s">
        <v>2110</v>
      </c>
      <c r="C49" s="2001"/>
      <c r="D49" s="2001"/>
      <c r="E49" s="2001"/>
      <c r="F49" s="2001"/>
      <c r="G49" s="2001"/>
      <c r="H49" s="2001"/>
      <c r="I49" s="2001"/>
    </row>
    <row r="50" spans="1:9" s="196" customFormat="1" ht="11.25" customHeight="1">
      <c r="A50" s="19"/>
      <c r="B50" s="2002" t="s">
        <v>2111</v>
      </c>
      <c r="C50" s="2002"/>
      <c r="D50" s="2002"/>
      <c r="E50" s="2002"/>
      <c r="F50" s="2002"/>
      <c r="G50" s="2002"/>
      <c r="H50" s="2002"/>
      <c r="I50" s="2002"/>
    </row>
    <row r="51" spans="1:9" ht="11.25" customHeight="1">
      <c r="A51" s="1"/>
      <c r="B51" s="82"/>
      <c r="C51" s="303"/>
      <c r="D51" s="14"/>
      <c r="E51" s="837"/>
      <c r="F51" s="303"/>
      <c r="G51" s="303"/>
      <c r="H51" s="303"/>
      <c r="I51" s="303"/>
    </row>
    <row r="52" spans="1:9" ht="10.5" customHeight="1">
      <c r="A52" s="710" t="s">
        <v>1105</v>
      </c>
      <c r="B52" s="2000" t="s">
        <v>1638</v>
      </c>
      <c r="C52" s="2000"/>
      <c r="D52" s="2000"/>
      <c r="E52" s="2000"/>
      <c r="F52" s="40"/>
      <c r="G52" s="40"/>
      <c r="H52" s="303"/>
      <c r="I52" s="303"/>
    </row>
    <row r="53" spans="1:9" ht="10.5" customHeight="1"/>
    <row r="54" spans="1:9" ht="11.25" customHeight="1">
      <c r="E54" s="795"/>
    </row>
    <row r="55" spans="1:9" ht="11.25" customHeight="1">
      <c r="E55" s="795"/>
    </row>
    <row r="56" spans="1:9" ht="12" customHeight="1"/>
    <row r="57" spans="1:9" ht="11.25" customHeight="1"/>
    <row r="58" spans="1:9" ht="12" customHeight="1"/>
    <row r="59" spans="1:9" ht="11.25" customHeight="1"/>
    <row r="60" spans="1:9" ht="10.5" customHeight="1"/>
  </sheetData>
  <mergeCells count="8">
    <mergeCell ref="B52:E52"/>
    <mergeCell ref="B49:I49"/>
    <mergeCell ref="B50:I50"/>
    <mergeCell ref="A1:G2"/>
    <mergeCell ref="H3:I3"/>
    <mergeCell ref="A4:A5"/>
    <mergeCell ref="B4:E4"/>
    <mergeCell ref="F4:I4"/>
  </mergeCells>
  <phoneticPr fontId="54" type="noConversion"/>
  <pageMargins left="0.59055118110236204" right="0.511811023622047" top="0.39370078740157499" bottom="0.511811023622047" header="0" footer="0.39370078740157499"/>
  <pageSetup paperSize="448" firstPageNumber="31" orientation="portrait" useFirstPageNumber="1" r:id="rId1"/>
  <headerFooter>
    <oddFooter>&amp;C&amp;"Times New Roman,Regular"&amp;8&amp;P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1:AR73"/>
  <sheetViews>
    <sheetView zoomScale="140" zoomScaleNormal="140" workbookViewId="0">
      <pane xSplit="1" ySplit="6" topLeftCell="B50" activePane="bottomRight" state="frozen"/>
      <selection activeCell="F85" sqref="F85"/>
      <selection pane="topRight" activeCell="F85" sqref="F85"/>
      <selection pane="bottomLeft" activeCell="F85" sqref="F85"/>
      <selection pane="bottomRight" activeCell="AR48" sqref="AR48"/>
    </sheetView>
  </sheetViews>
  <sheetFormatPr defaultColWidth="9.140625" defaultRowHeight="9"/>
  <cols>
    <col min="1" max="1" width="9.85546875" style="82" customWidth="1"/>
    <col min="2" max="2" width="5.28515625" style="40" customWidth="1"/>
    <col min="3" max="3" width="6.85546875" style="40" customWidth="1"/>
    <col min="4" max="4" width="4.85546875" style="40" customWidth="1"/>
    <col min="5" max="5" width="5.5703125" style="40" customWidth="1"/>
    <col min="6" max="6" width="5.42578125" style="40" customWidth="1"/>
    <col min="7" max="7" width="8.85546875" style="40" customWidth="1"/>
    <col min="8" max="8" width="6.85546875" style="40" customWidth="1"/>
    <col min="9" max="9" width="5.42578125" style="40" customWidth="1"/>
    <col min="10" max="10" width="5.5703125" style="40" customWidth="1"/>
    <col min="11" max="12" width="6.42578125" style="40" customWidth="1"/>
    <col min="13" max="13" width="8.28515625" style="40" customWidth="1"/>
    <col min="14" max="14" width="8.85546875" style="40" customWidth="1"/>
    <col min="15" max="15" width="8.5703125" style="40" customWidth="1"/>
    <col min="16" max="16" width="9" style="40" customWidth="1"/>
    <col min="17" max="17" width="8.140625" style="40" customWidth="1"/>
    <col min="18" max="18" width="7.7109375" style="40" customWidth="1"/>
    <col min="19" max="19" width="7.42578125" style="40" customWidth="1"/>
    <col min="20" max="20" width="7.85546875" style="40" customWidth="1"/>
    <col min="21" max="21" width="9.5703125" style="82" customWidth="1"/>
    <col min="22" max="22" width="9.7109375" style="82" customWidth="1"/>
    <col min="23" max="24" width="6" style="40" customWidth="1"/>
    <col min="25" max="25" width="7.5703125" style="40" customWidth="1"/>
    <col min="26" max="26" width="6.85546875" style="40" customWidth="1"/>
    <col min="27" max="27" width="6.7109375" style="40" customWidth="1"/>
    <col min="28" max="28" width="6.85546875" style="40" customWidth="1"/>
    <col min="29" max="29" width="6.5703125" style="40" customWidth="1"/>
    <col min="30" max="30" width="7.28515625" style="40" customWidth="1"/>
    <col min="31" max="31" width="8.140625" style="40" customWidth="1"/>
    <col min="32" max="32" width="6.85546875" style="40" customWidth="1"/>
    <col min="33" max="33" width="6.42578125" style="40" customWidth="1"/>
    <col min="34" max="34" width="7.7109375" style="40" customWidth="1"/>
    <col min="35" max="35" width="7" style="40" customWidth="1"/>
    <col min="36" max="36" width="7.140625" style="40" customWidth="1"/>
    <col min="37" max="37" width="7.7109375" style="40" customWidth="1"/>
    <col min="38" max="38" width="7.85546875" style="40" customWidth="1"/>
    <col min="39" max="39" width="9.7109375" style="40" customWidth="1"/>
    <col min="40" max="40" width="7.7109375" style="40" customWidth="1"/>
    <col min="41" max="41" width="8.28515625" style="40" customWidth="1"/>
    <col min="42" max="42" width="9.7109375" style="82" customWidth="1"/>
    <col min="43" max="16384" width="9.140625" style="40"/>
  </cols>
  <sheetData>
    <row r="1" spans="1:42" s="27" customFormat="1" ht="15.75">
      <c r="A1" s="2027" t="s">
        <v>834</v>
      </c>
      <c r="B1" s="2027"/>
      <c r="C1" s="2027"/>
      <c r="D1" s="2027"/>
      <c r="E1" s="73"/>
      <c r="F1" s="73"/>
      <c r="J1" s="2025" t="s">
        <v>138</v>
      </c>
      <c r="K1" s="2025"/>
      <c r="L1" s="2025"/>
      <c r="M1" s="2011" t="s">
        <v>137</v>
      </c>
      <c r="N1" s="2011"/>
      <c r="S1" s="2025" t="s">
        <v>162</v>
      </c>
      <c r="T1" s="2025"/>
      <c r="U1" s="2025"/>
      <c r="AE1" s="2025" t="s">
        <v>138</v>
      </c>
      <c r="AF1" s="2025"/>
      <c r="AG1" s="2011" t="s">
        <v>137</v>
      </c>
      <c r="AH1" s="2011"/>
      <c r="AI1" s="2011"/>
      <c r="AN1" s="2025" t="s">
        <v>260</v>
      </c>
      <c r="AO1" s="2025"/>
      <c r="AP1" s="2025"/>
    </row>
    <row r="2" spans="1:42" s="25" customFormat="1" ht="11.25" customHeight="1">
      <c r="A2" s="74"/>
      <c r="B2" s="74"/>
      <c r="C2" s="74"/>
      <c r="D2" s="74"/>
      <c r="E2" s="75"/>
      <c r="F2" s="75"/>
      <c r="G2" s="76"/>
      <c r="H2" s="76"/>
      <c r="I2" s="76"/>
      <c r="M2" s="76"/>
      <c r="S2" s="74"/>
      <c r="T2" s="2017" t="s">
        <v>25</v>
      </c>
      <c r="U2" s="2017"/>
      <c r="AO2" s="2017" t="s">
        <v>25</v>
      </c>
      <c r="AP2" s="2017"/>
    </row>
    <row r="3" spans="1:42" s="138" customFormat="1" ht="13.5" customHeight="1">
      <c r="A3" s="2026" t="s">
        <v>22</v>
      </c>
      <c r="B3" s="2021" t="s">
        <v>197</v>
      </c>
      <c r="C3" s="2012"/>
      <c r="D3" s="2012"/>
      <c r="E3" s="2012"/>
      <c r="F3" s="2012"/>
      <c r="G3" s="2012"/>
      <c r="H3" s="2012"/>
      <c r="I3" s="2012"/>
      <c r="J3" s="2012"/>
      <c r="K3" s="2012"/>
      <c r="L3" s="2013"/>
      <c r="M3" s="2021" t="s">
        <v>198</v>
      </c>
      <c r="N3" s="2012"/>
      <c r="O3" s="2012"/>
      <c r="P3" s="2012"/>
      <c r="Q3" s="2012"/>
      <c r="R3" s="2012"/>
      <c r="S3" s="2012"/>
      <c r="T3" s="2013"/>
      <c r="U3" s="2026" t="s">
        <v>22</v>
      </c>
      <c r="V3" s="2018" t="s">
        <v>22</v>
      </c>
      <c r="W3" s="2021" t="s">
        <v>199</v>
      </c>
      <c r="X3" s="2012"/>
      <c r="Y3" s="2012"/>
      <c r="Z3" s="2012"/>
      <c r="AA3" s="2012"/>
      <c r="AB3" s="2012"/>
      <c r="AC3" s="2012"/>
      <c r="AD3" s="2012"/>
      <c r="AE3" s="2012"/>
      <c r="AF3" s="2012"/>
      <c r="AG3" s="2012"/>
      <c r="AH3" s="2012" t="s">
        <v>200</v>
      </c>
      <c r="AI3" s="2012"/>
      <c r="AJ3" s="2012"/>
      <c r="AK3" s="2012"/>
      <c r="AL3" s="2012"/>
      <c r="AM3" s="2012"/>
      <c r="AN3" s="2013"/>
      <c r="AO3" s="2014" t="s">
        <v>1211</v>
      </c>
      <c r="AP3" s="2026" t="s">
        <v>663</v>
      </c>
    </row>
    <row r="4" spans="1:42" s="98" customFormat="1" ht="11.25" customHeight="1">
      <c r="A4" s="2019"/>
      <c r="B4" s="2034" t="s">
        <v>1229</v>
      </c>
      <c r="C4" s="2029" t="s">
        <v>113</v>
      </c>
      <c r="D4" s="2028" t="s">
        <v>114</v>
      </c>
      <c r="E4" s="2028" t="s">
        <v>1014</v>
      </c>
      <c r="F4" s="2028" t="s">
        <v>115</v>
      </c>
      <c r="G4" s="2031" t="s">
        <v>1015</v>
      </c>
      <c r="H4" s="2029" t="s">
        <v>1675</v>
      </c>
      <c r="I4" s="2028" t="s">
        <v>1016</v>
      </c>
      <c r="J4" s="2028" t="s">
        <v>1017</v>
      </c>
      <c r="K4" s="2028" t="s">
        <v>852</v>
      </c>
      <c r="L4" s="2035" t="s">
        <v>258</v>
      </c>
      <c r="M4" s="2030" t="s">
        <v>673</v>
      </c>
      <c r="N4" s="2030"/>
      <c r="O4" s="2030"/>
      <c r="P4" s="2030" t="s">
        <v>254</v>
      </c>
      <c r="Q4" s="2030"/>
      <c r="R4" s="2030"/>
      <c r="S4" s="2030"/>
      <c r="T4" s="2030"/>
      <c r="U4" s="2019"/>
      <c r="V4" s="2019"/>
      <c r="W4" s="2022" t="s">
        <v>259</v>
      </c>
      <c r="X4" s="2023"/>
      <c r="Y4" s="2023"/>
      <c r="Z4" s="2023"/>
      <c r="AA4" s="2023"/>
      <c r="AB4" s="2023"/>
      <c r="AC4" s="2023"/>
      <c r="AD4" s="2023"/>
      <c r="AE4" s="2023"/>
      <c r="AF4" s="2023"/>
      <c r="AG4" s="2023"/>
      <c r="AH4" s="2023"/>
      <c r="AI4" s="2023"/>
      <c r="AJ4" s="2023"/>
      <c r="AK4" s="2023"/>
      <c r="AL4" s="2023"/>
      <c r="AM4" s="2023"/>
      <c r="AN4" s="2024"/>
      <c r="AO4" s="2015"/>
      <c r="AP4" s="2019"/>
    </row>
    <row r="5" spans="1:42" s="78" customFormat="1" ht="44.25" customHeight="1">
      <c r="A5" s="2019"/>
      <c r="B5" s="2034"/>
      <c r="C5" s="2029"/>
      <c r="D5" s="2028"/>
      <c r="E5" s="2028"/>
      <c r="F5" s="2028"/>
      <c r="G5" s="2032"/>
      <c r="H5" s="2029"/>
      <c r="I5" s="2028"/>
      <c r="J5" s="2028"/>
      <c r="K5" s="2028"/>
      <c r="L5" s="2035"/>
      <c r="M5" s="1191" t="s">
        <v>674</v>
      </c>
      <c r="N5" s="1533" t="s">
        <v>675</v>
      </c>
      <c r="O5" s="1533" t="s">
        <v>848</v>
      </c>
      <c r="P5" s="1533" t="s">
        <v>1591</v>
      </c>
      <c r="Q5" s="1533" t="s">
        <v>676</v>
      </c>
      <c r="R5" s="1533" t="s">
        <v>1018</v>
      </c>
      <c r="S5" s="1533" t="s">
        <v>1019</v>
      </c>
      <c r="T5" s="1191" t="s">
        <v>1062</v>
      </c>
      <c r="U5" s="2019"/>
      <c r="V5" s="2019"/>
      <c r="W5" s="1543" t="s">
        <v>790</v>
      </c>
      <c r="X5" s="182" t="s">
        <v>133</v>
      </c>
      <c r="Y5" s="182" t="s">
        <v>1208</v>
      </c>
      <c r="Z5" s="182" t="s">
        <v>1060</v>
      </c>
      <c r="AA5" s="182" t="s">
        <v>1020</v>
      </c>
      <c r="AB5" s="182" t="s">
        <v>256</v>
      </c>
      <c r="AC5" s="182" t="s">
        <v>1017</v>
      </c>
      <c r="AD5" s="182" t="s">
        <v>134</v>
      </c>
      <c r="AE5" s="1534" t="s">
        <v>1676</v>
      </c>
      <c r="AF5" s="182" t="s">
        <v>135</v>
      </c>
      <c r="AG5" s="182" t="s">
        <v>677</v>
      </c>
      <c r="AH5" s="1532" t="s">
        <v>1677</v>
      </c>
      <c r="AI5" s="1533" t="s">
        <v>1021</v>
      </c>
      <c r="AJ5" s="1533" t="s">
        <v>1022</v>
      </c>
      <c r="AK5" s="1533" t="s">
        <v>257</v>
      </c>
      <c r="AL5" s="1533" t="s">
        <v>1061</v>
      </c>
      <c r="AM5" s="1533" t="s">
        <v>1210</v>
      </c>
      <c r="AN5" s="1191" t="s">
        <v>1209</v>
      </c>
      <c r="AO5" s="2016"/>
      <c r="AP5" s="2019"/>
    </row>
    <row r="6" spans="1:42" s="83" customFormat="1" ht="12" customHeight="1">
      <c r="A6" s="2020"/>
      <c r="B6" s="1192">
        <v>1</v>
      </c>
      <c r="C6" s="1538">
        <v>2</v>
      </c>
      <c r="D6" s="1538">
        <v>3</v>
      </c>
      <c r="E6" s="1538">
        <v>4</v>
      </c>
      <c r="F6" s="1538">
        <v>5</v>
      </c>
      <c r="G6" s="1538">
        <v>6</v>
      </c>
      <c r="H6" s="1538">
        <v>7</v>
      </c>
      <c r="I6" s="1538">
        <v>8</v>
      </c>
      <c r="J6" s="1538">
        <v>9</v>
      </c>
      <c r="K6" s="1538">
        <v>10</v>
      </c>
      <c r="L6" s="1538">
        <v>11</v>
      </c>
      <c r="M6" s="1193">
        <v>12</v>
      </c>
      <c r="N6" s="1538">
        <v>13</v>
      </c>
      <c r="O6" s="1538" t="s">
        <v>849</v>
      </c>
      <c r="P6" s="1538">
        <v>15</v>
      </c>
      <c r="Q6" s="1538">
        <v>16</v>
      </c>
      <c r="R6" s="1538">
        <v>17</v>
      </c>
      <c r="S6" s="1538">
        <v>18</v>
      </c>
      <c r="T6" s="1193">
        <v>19</v>
      </c>
      <c r="U6" s="2020"/>
      <c r="V6" s="2020"/>
      <c r="W6" s="1192">
        <v>20</v>
      </c>
      <c r="X6" s="1538">
        <v>21</v>
      </c>
      <c r="Y6" s="1538">
        <v>22</v>
      </c>
      <c r="Z6" s="1538">
        <v>23</v>
      </c>
      <c r="AA6" s="1538">
        <v>24</v>
      </c>
      <c r="AB6" s="1538">
        <v>25</v>
      </c>
      <c r="AC6" s="1538">
        <v>26</v>
      </c>
      <c r="AD6" s="1538">
        <v>27</v>
      </c>
      <c r="AE6" s="1538">
        <v>28</v>
      </c>
      <c r="AF6" s="1538">
        <v>29</v>
      </c>
      <c r="AG6" s="1538">
        <v>30</v>
      </c>
      <c r="AH6" s="1538">
        <v>31</v>
      </c>
      <c r="AI6" s="1538">
        <v>32</v>
      </c>
      <c r="AJ6" s="1538">
        <v>33</v>
      </c>
      <c r="AK6" s="1538">
        <v>34</v>
      </c>
      <c r="AL6" s="1538">
        <v>35</v>
      </c>
      <c r="AM6" s="1538">
        <v>36</v>
      </c>
      <c r="AN6" s="1538" t="s">
        <v>850</v>
      </c>
      <c r="AO6" s="80" t="s">
        <v>851</v>
      </c>
      <c r="AP6" s="2020"/>
    </row>
    <row r="7" spans="1:42" s="70" customFormat="1" ht="10.7" customHeight="1">
      <c r="A7" s="849" t="s">
        <v>83</v>
      </c>
      <c r="B7" s="851">
        <v>1328</v>
      </c>
      <c r="C7" s="591">
        <v>3656</v>
      </c>
      <c r="D7" s="591">
        <v>37</v>
      </c>
      <c r="E7" s="591">
        <v>2431</v>
      </c>
      <c r="F7" s="591">
        <v>3208</v>
      </c>
      <c r="G7" s="591">
        <v>67248</v>
      </c>
      <c r="H7" s="851">
        <v>993</v>
      </c>
      <c r="I7" s="851">
        <v>0</v>
      </c>
      <c r="J7" s="851">
        <v>236</v>
      </c>
      <c r="K7" s="851">
        <v>23011</v>
      </c>
      <c r="L7" s="851">
        <v>102148</v>
      </c>
      <c r="M7" s="851">
        <v>522</v>
      </c>
      <c r="N7" s="851">
        <v>5267</v>
      </c>
      <c r="O7" s="851">
        <v>5789</v>
      </c>
      <c r="P7" s="851">
        <v>736</v>
      </c>
      <c r="Q7" s="851">
        <v>755</v>
      </c>
      <c r="R7" s="851">
        <v>900</v>
      </c>
      <c r="S7" s="851">
        <v>7260</v>
      </c>
      <c r="T7" s="851">
        <v>2422</v>
      </c>
      <c r="U7" s="850" t="s">
        <v>83</v>
      </c>
      <c r="V7" s="849" t="s">
        <v>83</v>
      </c>
      <c r="W7" s="280">
        <v>4497</v>
      </c>
      <c r="X7" s="280">
        <v>2305</v>
      </c>
      <c r="Y7" s="280">
        <v>3700</v>
      </c>
      <c r="Z7" s="280">
        <v>13984</v>
      </c>
      <c r="AA7" s="280">
        <v>6722</v>
      </c>
      <c r="AB7" s="280">
        <v>713</v>
      </c>
      <c r="AC7" s="280">
        <v>4960</v>
      </c>
      <c r="AD7" s="280">
        <v>1899</v>
      </c>
      <c r="AE7" s="280">
        <v>6683</v>
      </c>
      <c r="AF7" s="280">
        <v>9959</v>
      </c>
      <c r="AG7" s="280">
        <v>4971</v>
      </c>
      <c r="AH7" s="280">
        <v>13742</v>
      </c>
      <c r="AI7" s="86">
        <v>814</v>
      </c>
      <c r="AJ7" s="86">
        <v>10052</v>
      </c>
      <c r="AK7" s="86">
        <v>11032</v>
      </c>
      <c r="AL7" s="86">
        <v>50346</v>
      </c>
      <c r="AM7" s="86">
        <v>158452</v>
      </c>
      <c r="AN7" s="851">
        <v>164241</v>
      </c>
      <c r="AO7" s="851">
        <v>-62093</v>
      </c>
      <c r="AP7" s="88" t="s">
        <v>83</v>
      </c>
    </row>
    <row r="8" spans="1:42" s="70" customFormat="1" ht="10.7" customHeight="1">
      <c r="A8" s="390" t="s">
        <v>225</v>
      </c>
      <c r="B8" s="497">
        <v>1888</v>
      </c>
      <c r="C8" s="368">
        <v>4750</v>
      </c>
      <c r="D8" s="368">
        <v>19</v>
      </c>
      <c r="E8" s="368">
        <v>3365</v>
      </c>
      <c r="F8" s="368">
        <v>4149</v>
      </c>
      <c r="G8" s="368">
        <v>96711</v>
      </c>
      <c r="H8" s="497">
        <v>851</v>
      </c>
      <c r="I8" s="497">
        <v>0</v>
      </c>
      <c r="J8" s="497">
        <v>182</v>
      </c>
      <c r="K8" s="497">
        <v>32516.062909</v>
      </c>
      <c r="L8" s="497">
        <v>144431.062909</v>
      </c>
      <c r="M8" s="497">
        <v>5943</v>
      </c>
      <c r="N8" s="497">
        <v>7721</v>
      </c>
      <c r="O8" s="497">
        <v>13664</v>
      </c>
      <c r="P8" s="497">
        <v>1153</v>
      </c>
      <c r="Q8" s="497">
        <v>898</v>
      </c>
      <c r="R8" s="497">
        <v>736</v>
      </c>
      <c r="S8" s="497">
        <v>7600</v>
      </c>
      <c r="T8" s="497">
        <v>2073</v>
      </c>
      <c r="U8" s="391" t="s">
        <v>225</v>
      </c>
      <c r="V8" s="390" t="s">
        <v>225</v>
      </c>
      <c r="W8" s="366">
        <v>4667</v>
      </c>
      <c r="X8" s="366">
        <v>3182</v>
      </c>
      <c r="Y8" s="366">
        <v>6350</v>
      </c>
      <c r="Z8" s="366">
        <v>23060</v>
      </c>
      <c r="AA8" s="366">
        <v>8938</v>
      </c>
      <c r="AB8" s="366">
        <v>824</v>
      </c>
      <c r="AC8" s="366">
        <v>8817</v>
      </c>
      <c r="AD8" s="366">
        <v>2371</v>
      </c>
      <c r="AE8" s="366">
        <v>9278</v>
      </c>
      <c r="AF8" s="366">
        <v>19115</v>
      </c>
      <c r="AG8" s="366">
        <v>9927</v>
      </c>
      <c r="AH8" s="366">
        <v>19102</v>
      </c>
      <c r="AI8" s="953">
        <v>1283</v>
      </c>
      <c r="AJ8" s="953">
        <v>14290</v>
      </c>
      <c r="AK8" s="953">
        <v>16589</v>
      </c>
      <c r="AL8" s="953">
        <v>66111</v>
      </c>
      <c r="AM8" s="953">
        <v>226364</v>
      </c>
      <c r="AN8" s="497">
        <v>240028</v>
      </c>
      <c r="AO8" s="497">
        <v>-95596.937090999985</v>
      </c>
      <c r="AP8" s="383" t="s">
        <v>225</v>
      </c>
    </row>
    <row r="9" spans="1:42" s="83" customFormat="1" ht="10.7" customHeight="1">
      <c r="A9" s="1535" t="s">
        <v>972</v>
      </c>
      <c r="B9" s="86">
        <v>1866</v>
      </c>
      <c r="C9" s="86">
        <v>5200</v>
      </c>
      <c r="D9" s="86">
        <v>28</v>
      </c>
      <c r="E9" s="86">
        <v>4115</v>
      </c>
      <c r="F9" s="86">
        <v>4758</v>
      </c>
      <c r="G9" s="86">
        <v>122701</v>
      </c>
      <c r="H9" s="86">
        <v>975</v>
      </c>
      <c r="I9" s="86">
        <v>0</v>
      </c>
      <c r="J9" s="86">
        <v>130</v>
      </c>
      <c r="K9" s="851">
        <v>40540.264029999998</v>
      </c>
      <c r="L9" s="851">
        <v>180313.26402999999</v>
      </c>
      <c r="M9" s="86">
        <v>2188</v>
      </c>
      <c r="N9" s="86">
        <v>4763</v>
      </c>
      <c r="O9" s="86">
        <v>6951</v>
      </c>
      <c r="P9" s="86">
        <v>1750</v>
      </c>
      <c r="Q9" s="86">
        <v>1080</v>
      </c>
      <c r="R9" s="86">
        <v>1420</v>
      </c>
      <c r="S9" s="86">
        <v>13051</v>
      </c>
      <c r="T9" s="86">
        <v>1911</v>
      </c>
      <c r="U9" s="804" t="s">
        <v>972</v>
      </c>
      <c r="V9" s="311" t="s">
        <v>972</v>
      </c>
      <c r="W9" s="86">
        <v>9390</v>
      </c>
      <c r="X9" s="86">
        <v>3994</v>
      </c>
      <c r="Y9" s="86">
        <v>8387</v>
      </c>
      <c r="Z9" s="86">
        <v>30484</v>
      </c>
      <c r="AA9" s="86">
        <v>9575</v>
      </c>
      <c r="AB9" s="86">
        <v>934</v>
      </c>
      <c r="AC9" s="86">
        <v>10907</v>
      </c>
      <c r="AD9" s="86">
        <v>2977</v>
      </c>
      <c r="AE9" s="86">
        <v>10835</v>
      </c>
      <c r="AF9" s="86">
        <v>16601</v>
      </c>
      <c r="AG9" s="86">
        <v>10833</v>
      </c>
      <c r="AH9" s="86">
        <v>24168</v>
      </c>
      <c r="AI9" s="86">
        <v>3250</v>
      </c>
      <c r="AJ9" s="86">
        <v>17637</v>
      </c>
      <c r="AK9" s="86">
        <v>15765</v>
      </c>
      <c r="AL9" s="86">
        <v>79063</v>
      </c>
      <c r="AM9" s="86">
        <v>274012</v>
      </c>
      <c r="AN9" s="86">
        <v>280963</v>
      </c>
      <c r="AO9" s="851">
        <v>-100649.73597000001</v>
      </c>
      <c r="AP9" s="804" t="s">
        <v>972</v>
      </c>
    </row>
    <row r="10" spans="1:42" s="334" customFormat="1" ht="10.7" customHeight="1">
      <c r="A10" s="390" t="s">
        <v>1107</v>
      </c>
      <c r="B10" s="497">
        <v>1699</v>
      </c>
      <c r="C10" s="368">
        <v>5989</v>
      </c>
      <c r="D10" s="368">
        <v>17</v>
      </c>
      <c r="E10" s="368">
        <v>4778</v>
      </c>
      <c r="F10" s="368">
        <v>3399</v>
      </c>
      <c r="G10" s="368">
        <v>128285</v>
      </c>
      <c r="H10" s="497">
        <v>431</v>
      </c>
      <c r="I10" s="497">
        <v>0</v>
      </c>
      <c r="J10" s="497">
        <v>0</v>
      </c>
      <c r="K10" s="497">
        <v>44838.842640000003</v>
      </c>
      <c r="L10" s="497">
        <v>189436.84263999999</v>
      </c>
      <c r="M10" s="497">
        <v>239</v>
      </c>
      <c r="N10" s="497">
        <v>5575</v>
      </c>
      <c r="O10" s="497">
        <v>5814</v>
      </c>
      <c r="P10" s="497">
        <v>1708</v>
      </c>
      <c r="Q10" s="497">
        <v>947</v>
      </c>
      <c r="R10" s="497">
        <v>1932</v>
      </c>
      <c r="S10" s="497">
        <v>11185</v>
      </c>
      <c r="T10" s="497">
        <v>3373</v>
      </c>
      <c r="U10" s="391" t="s">
        <v>1107</v>
      </c>
      <c r="V10" s="390" t="s">
        <v>1107</v>
      </c>
      <c r="W10" s="366">
        <v>5853</v>
      </c>
      <c r="X10" s="366">
        <v>3888</v>
      </c>
      <c r="Y10" s="366">
        <v>8801</v>
      </c>
      <c r="Z10" s="366">
        <v>29122</v>
      </c>
      <c r="AA10" s="366">
        <v>10405</v>
      </c>
      <c r="AB10" s="366">
        <v>952</v>
      </c>
      <c r="AC10" s="366">
        <v>9563</v>
      </c>
      <c r="AD10" s="366">
        <v>3190</v>
      </c>
      <c r="AE10" s="366">
        <v>10905</v>
      </c>
      <c r="AF10" s="366">
        <v>16004</v>
      </c>
      <c r="AG10" s="366">
        <v>10849</v>
      </c>
      <c r="AH10" s="366">
        <v>26133</v>
      </c>
      <c r="AI10" s="953">
        <v>3627</v>
      </c>
      <c r="AJ10" s="953">
        <v>18642</v>
      </c>
      <c r="AK10" s="953">
        <v>14672</v>
      </c>
      <c r="AL10" s="953">
        <v>74763</v>
      </c>
      <c r="AM10" s="953">
        <v>266514</v>
      </c>
      <c r="AN10" s="497">
        <v>272328</v>
      </c>
      <c r="AO10" s="497">
        <v>-82891.157360000012</v>
      </c>
      <c r="AP10" s="383" t="s">
        <v>1107</v>
      </c>
    </row>
    <row r="11" spans="1:42" s="322" customFormat="1" ht="10.7" customHeight="1">
      <c r="A11" s="601" t="s">
        <v>1347</v>
      </c>
      <c r="B11" s="324">
        <v>948</v>
      </c>
      <c r="C11" s="324">
        <v>5315</v>
      </c>
      <c r="D11" s="324">
        <v>17</v>
      </c>
      <c r="E11" s="324">
        <v>3759</v>
      </c>
      <c r="F11" s="324">
        <v>4098</v>
      </c>
      <c r="G11" s="324">
        <v>146626</v>
      </c>
      <c r="H11" s="324">
        <v>134</v>
      </c>
      <c r="I11" s="324">
        <v>0</v>
      </c>
      <c r="J11" s="324">
        <v>0</v>
      </c>
      <c r="K11" s="477">
        <v>52476.544890000005</v>
      </c>
      <c r="L11" s="477">
        <v>213373.54489000002</v>
      </c>
      <c r="M11" s="324">
        <v>2701</v>
      </c>
      <c r="N11" s="324">
        <v>8685</v>
      </c>
      <c r="O11" s="324">
        <v>11386</v>
      </c>
      <c r="P11" s="324">
        <v>2249</v>
      </c>
      <c r="Q11" s="324">
        <v>1423</v>
      </c>
      <c r="R11" s="324">
        <v>3952</v>
      </c>
      <c r="S11" s="324">
        <v>13686</v>
      </c>
      <c r="T11" s="324">
        <v>3536</v>
      </c>
      <c r="U11" s="602" t="s">
        <v>1347</v>
      </c>
      <c r="V11" s="601" t="s">
        <v>1347</v>
      </c>
      <c r="W11" s="324">
        <v>7014</v>
      </c>
      <c r="X11" s="324">
        <v>4812</v>
      </c>
      <c r="Y11" s="324">
        <v>7218</v>
      </c>
      <c r="Z11" s="324">
        <v>31628</v>
      </c>
      <c r="AA11" s="324">
        <v>11644</v>
      </c>
      <c r="AB11" s="324">
        <v>931</v>
      </c>
      <c r="AC11" s="324">
        <v>7977</v>
      </c>
      <c r="AD11" s="324">
        <v>4185</v>
      </c>
      <c r="AE11" s="324">
        <v>13937</v>
      </c>
      <c r="AF11" s="324">
        <v>18850</v>
      </c>
      <c r="AG11" s="324">
        <v>11705</v>
      </c>
      <c r="AH11" s="324">
        <v>27853</v>
      </c>
      <c r="AI11" s="324">
        <v>3833</v>
      </c>
      <c r="AJ11" s="324">
        <v>20654</v>
      </c>
      <c r="AK11" s="324">
        <v>18122</v>
      </c>
      <c r="AL11" s="324">
        <v>89977</v>
      </c>
      <c r="AM11" s="324">
        <v>305186</v>
      </c>
      <c r="AN11" s="324">
        <v>316572</v>
      </c>
      <c r="AO11" s="477">
        <v>-103198.45510999998</v>
      </c>
      <c r="AP11" s="602" t="s">
        <v>1347</v>
      </c>
    </row>
    <row r="12" spans="1:42" s="306" customFormat="1" ht="10.7" customHeight="1">
      <c r="A12" s="390" t="s">
        <v>1406</v>
      </c>
      <c r="B12" s="497">
        <v>856</v>
      </c>
      <c r="C12" s="497">
        <v>5351</v>
      </c>
      <c r="D12" s="497">
        <v>33</v>
      </c>
      <c r="E12" s="497">
        <v>3081</v>
      </c>
      <c r="F12" s="497">
        <v>3988</v>
      </c>
      <c r="G12" s="497">
        <v>156045</v>
      </c>
      <c r="H12" s="497">
        <v>291</v>
      </c>
      <c r="I12" s="497">
        <v>0</v>
      </c>
      <c r="J12" s="497">
        <v>0</v>
      </c>
      <c r="K12" s="497">
        <v>56840.869556799982</v>
      </c>
      <c r="L12" s="497">
        <v>226485.8695568</v>
      </c>
      <c r="M12" s="497">
        <v>4309.6000000000004</v>
      </c>
      <c r="N12" s="497">
        <v>7914.6</v>
      </c>
      <c r="O12" s="497">
        <v>12224.2</v>
      </c>
      <c r="P12" s="497">
        <v>2409</v>
      </c>
      <c r="Q12" s="497">
        <v>1668</v>
      </c>
      <c r="R12" s="497">
        <v>2745</v>
      </c>
      <c r="S12" s="497">
        <v>12223</v>
      </c>
      <c r="T12" s="497">
        <v>3057</v>
      </c>
      <c r="U12" s="391" t="s">
        <v>1406</v>
      </c>
      <c r="V12" s="390" t="s">
        <v>1406</v>
      </c>
      <c r="W12" s="995">
        <v>5770</v>
      </c>
      <c r="X12" s="995">
        <v>4632</v>
      </c>
      <c r="Y12" s="995">
        <v>6629</v>
      </c>
      <c r="Z12" s="995">
        <v>26175</v>
      </c>
      <c r="AA12" s="995">
        <v>12192</v>
      </c>
      <c r="AB12" s="995">
        <v>875</v>
      </c>
      <c r="AC12" s="995">
        <v>9647</v>
      </c>
      <c r="AD12" s="995">
        <v>4312</v>
      </c>
      <c r="AE12" s="995">
        <v>14333</v>
      </c>
      <c r="AF12" s="995">
        <v>17672</v>
      </c>
      <c r="AG12" s="995">
        <v>12377</v>
      </c>
      <c r="AH12" s="995">
        <v>28569</v>
      </c>
      <c r="AI12" s="995">
        <v>4078</v>
      </c>
      <c r="AJ12" s="995">
        <v>22909</v>
      </c>
      <c r="AK12" s="995">
        <v>20294</v>
      </c>
      <c r="AL12" s="995">
        <v>90395</v>
      </c>
      <c r="AM12" s="995">
        <v>302961</v>
      </c>
      <c r="AN12" s="1281">
        <v>315185.2</v>
      </c>
      <c r="AO12" s="1281">
        <v>-88699.330443200015</v>
      </c>
      <c r="AP12" s="391" t="s">
        <v>1406</v>
      </c>
    </row>
    <row r="13" spans="1:42" s="322" customFormat="1" ht="10.7" customHeight="1">
      <c r="A13" s="601" t="s">
        <v>1560</v>
      </c>
      <c r="B13" s="476">
        <v>1257</v>
      </c>
      <c r="C13" s="476">
        <v>5700</v>
      </c>
      <c r="D13" s="476">
        <v>15</v>
      </c>
      <c r="E13" s="476">
        <v>2133</v>
      </c>
      <c r="F13" s="476">
        <v>3003</v>
      </c>
      <c r="G13" s="476">
        <v>163120</v>
      </c>
      <c r="H13" s="476">
        <v>101</v>
      </c>
      <c r="I13" s="476">
        <v>0</v>
      </c>
      <c r="J13" s="476">
        <v>0</v>
      </c>
      <c r="K13" s="476">
        <v>61472.895545300002</v>
      </c>
      <c r="L13" s="476">
        <v>236801.89554530004</v>
      </c>
      <c r="M13" s="476">
        <v>931.40000000000009</v>
      </c>
      <c r="N13" s="476">
        <v>7159.0999999999995</v>
      </c>
      <c r="O13" s="476">
        <v>8090.4999999999991</v>
      </c>
      <c r="P13" s="476">
        <v>1766.1999999999998</v>
      </c>
      <c r="Q13" s="476">
        <v>1597.8</v>
      </c>
      <c r="R13" s="476">
        <v>4083.2</v>
      </c>
      <c r="S13" s="476">
        <v>10409.300000000001</v>
      </c>
      <c r="T13" s="476">
        <v>3625.2000000000003</v>
      </c>
      <c r="U13" s="1056" t="s">
        <v>1560</v>
      </c>
      <c r="V13" s="475" t="s">
        <v>1560</v>
      </c>
      <c r="W13" s="476">
        <v>5171.3999999999996</v>
      </c>
      <c r="X13" s="476">
        <v>3467.4</v>
      </c>
      <c r="Y13" s="476">
        <v>2985.2</v>
      </c>
      <c r="Z13" s="476">
        <v>17826.600000000002</v>
      </c>
      <c r="AA13" s="476">
        <v>13214.499999999998</v>
      </c>
      <c r="AB13" s="476">
        <v>937.49999999999989</v>
      </c>
      <c r="AC13" s="476">
        <v>8170.1</v>
      </c>
      <c r="AD13" s="476">
        <v>4271.7</v>
      </c>
      <c r="AE13" s="476">
        <v>14233.1</v>
      </c>
      <c r="AF13" s="476">
        <v>16844</v>
      </c>
      <c r="AG13" s="476">
        <v>12884.699999999999</v>
      </c>
      <c r="AH13" s="476">
        <v>32259.099999999995</v>
      </c>
      <c r="AI13" s="476">
        <v>4713.0999999999995</v>
      </c>
      <c r="AJ13" s="476">
        <v>21924.899999999998</v>
      </c>
      <c r="AK13" s="476">
        <v>23920.3</v>
      </c>
      <c r="AL13" s="476">
        <v>101483.00000000001</v>
      </c>
      <c r="AM13" s="476">
        <v>305788.3</v>
      </c>
      <c r="AN13" s="476">
        <v>313878.80000000005</v>
      </c>
      <c r="AO13" s="476">
        <v>-77076.904454699994</v>
      </c>
      <c r="AP13" s="1056" t="s">
        <v>1560</v>
      </c>
    </row>
    <row r="14" spans="1:42" s="322" customFormat="1" ht="10.7" customHeight="1">
      <c r="A14" s="390" t="s">
        <v>1596</v>
      </c>
      <c r="B14" s="497">
        <v>1381</v>
      </c>
      <c r="C14" s="497">
        <v>6117</v>
      </c>
      <c r="D14" s="497">
        <v>30</v>
      </c>
      <c r="E14" s="497">
        <v>1463</v>
      </c>
      <c r="F14" s="497">
        <v>3681</v>
      </c>
      <c r="G14" s="497">
        <v>166762</v>
      </c>
      <c r="H14" s="497">
        <v>130</v>
      </c>
      <c r="I14" s="497">
        <v>0</v>
      </c>
      <c r="J14" s="497">
        <v>44</v>
      </c>
      <c r="K14" s="497">
        <v>60048.485022404995</v>
      </c>
      <c r="L14" s="497">
        <v>239656.48502240499</v>
      </c>
      <c r="M14" s="497">
        <v>604.1</v>
      </c>
      <c r="N14" s="497">
        <v>8157.0999999999995</v>
      </c>
      <c r="O14" s="497">
        <v>8761.1999999999989</v>
      </c>
      <c r="P14" s="497">
        <v>1998.8999999999999</v>
      </c>
      <c r="Q14" s="497">
        <v>2051.1</v>
      </c>
      <c r="R14" s="497">
        <v>3273.5</v>
      </c>
      <c r="S14" s="497">
        <v>11837.800000000001</v>
      </c>
      <c r="T14" s="497">
        <v>4669.3999999999996</v>
      </c>
      <c r="U14" s="1260" t="s">
        <v>1596</v>
      </c>
      <c r="V14" s="1060" t="s">
        <v>1596</v>
      </c>
      <c r="W14" s="497">
        <v>6647.9999999999991</v>
      </c>
      <c r="X14" s="497">
        <v>3764.1999999999994</v>
      </c>
      <c r="Y14" s="497">
        <v>4222.1000000000004</v>
      </c>
      <c r="Z14" s="497">
        <v>21980.199999999997</v>
      </c>
      <c r="AA14" s="497">
        <v>14792.9</v>
      </c>
      <c r="AB14" s="497">
        <v>1159.8999999999999</v>
      </c>
      <c r="AC14" s="497">
        <v>5742.4</v>
      </c>
      <c r="AD14" s="497">
        <v>4436.5000000000009</v>
      </c>
      <c r="AE14" s="497">
        <v>15330.1</v>
      </c>
      <c r="AF14" s="497">
        <v>20702.7</v>
      </c>
      <c r="AG14" s="497">
        <v>13181.199999999999</v>
      </c>
      <c r="AH14" s="497">
        <v>32746.7</v>
      </c>
      <c r="AI14" s="497">
        <v>4836.7999999999993</v>
      </c>
      <c r="AJ14" s="497">
        <v>25854.7</v>
      </c>
      <c r="AK14" s="497">
        <v>28625.800000000007</v>
      </c>
      <c r="AL14" s="497">
        <v>107960.99999999999</v>
      </c>
      <c r="AM14" s="497">
        <v>335815.89999999997</v>
      </c>
      <c r="AN14" s="497">
        <v>344577.1</v>
      </c>
      <c r="AO14" s="497">
        <v>-104920.61497759499</v>
      </c>
      <c r="AP14" s="1260" t="s">
        <v>1596</v>
      </c>
    </row>
    <row r="15" spans="1:42" s="322" customFormat="1" ht="10.7" customHeight="1">
      <c r="A15" s="1280" t="s">
        <v>1756</v>
      </c>
      <c r="B15" s="1277">
        <v>1161</v>
      </c>
      <c r="C15" s="1277">
        <v>6275</v>
      </c>
      <c r="D15" s="1277">
        <v>21</v>
      </c>
      <c r="E15" s="1277">
        <v>1282</v>
      </c>
      <c r="F15" s="1277">
        <v>4089</v>
      </c>
      <c r="G15" s="1277">
        <v>185413</v>
      </c>
      <c r="H15" s="1277">
        <v>72</v>
      </c>
      <c r="I15" s="1277">
        <v>13</v>
      </c>
      <c r="J15" s="1277">
        <v>0</v>
      </c>
      <c r="K15" s="1277">
        <v>68852.312488977797</v>
      </c>
      <c r="L15" s="1277">
        <v>267178.3124889778</v>
      </c>
      <c r="M15" s="1277">
        <v>14319</v>
      </c>
      <c r="N15" s="1277">
        <v>10064.500000000002</v>
      </c>
      <c r="O15" s="1277">
        <v>24383.499999999996</v>
      </c>
      <c r="P15" s="1277">
        <v>2371.4</v>
      </c>
      <c r="Q15" s="1277">
        <v>2362.4</v>
      </c>
      <c r="R15" s="1277">
        <v>4176.3000000000011</v>
      </c>
      <c r="S15" s="1277">
        <v>14447.800000000001</v>
      </c>
      <c r="T15" s="1277">
        <v>3349</v>
      </c>
      <c r="U15" s="784" t="s">
        <v>1756</v>
      </c>
      <c r="V15" s="783" t="s">
        <v>1756</v>
      </c>
      <c r="W15" s="1277">
        <v>7766.4</v>
      </c>
      <c r="X15" s="1277">
        <v>4264</v>
      </c>
      <c r="Y15" s="1277">
        <v>4577.5</v>
      </c>
      <c r="Z15" s="1277">
        <v>34122.799999999996</v>
      </c>
      <c r="AA15" s="1277">
        <v>17548</v>
      </c>
      <c r="AB15" s="1277">
        <v>1251.8</v>
      </c>
      <c r="AC15" s="1277">
        <v>7141.9000000000015</v>
      </c>
      <c r="AD15" s="1277">
        <v>5078.1000000000004</v>
      </c>
      <c r="AE15" s="1277">
        <v>17772.7</v>
      </c>
      <c r="AF15" s="1277">
        <v>24249.800000000003</v>
      </c>
      <c r="AG15" s="1277">
        <v>15664.1</v>
      </c>
      <c r="AH15" s="1277">
        <v>37509.1</v>
      </c>
      <c r="AI15" s="1277">
        <v>5682</v>
      </c>
      <c r="AJ15" s="1277">
        <v>31458.999999999996</v>
      </c>
      <c r="AK15" s="1277">
        <v>37712.400000000009</v>
      </c>
      <c r="AL15" s="1277">
        <v>132150.9</v>
      </c>
      <c r="AM15" s="1277">
        <v>410657.39999999991</v>
      </c>
      <c r="AN15" s="1277">
        <v>435040.89999999997</v>
      </c>
      <c r="AO15" s="1277">
        <v>-167862.58751102214</v>
      </c>
      <c r="AP15" s="784" t="s">
        <v>1756</v>
      </c>
    </row>
    <row r="16" spans="1:42" s="322" customFormat="1" ht="10.7" customHeight="1">
      <c r="A16" s="966" t="s">
        <v>1904</v>
      </c>
      <c r="B16" s="1278">
        <f>SUM(B17:B28)</f>
        <v>964</v>
      </c>
      <c r="C16" s="1278">
        <f t="shared" ref="C16:T16" si="0">SUM(C17:C28)</f>
        <v>5468</v>
      </c>
      <c r="D16" s="1278">
        <f t="shared" si="0"/>
        <v>21</v>
      </c>
      <c r="E16" s="1279">
        <f t="shared" si="0"/>
        <v>1193</v>
      </c>
      <c r="F16" s="1278">
        <f t="shared" si="0"/>
        <v>3556</v>
      </c>
      <c r="G16" s="1278">
        <f t="shared" si="0"/>
        <v>212357</v>
      </c>
      <c r="H16" s="1278">
        <f t="shared" si="0"/>
        <v>181</v>
      </c>
      <c r="I16" s="1278">
        <f t="shared" si="0"/>
        <v>23</v>
      </c>
      <c r="J16" s="1278">
        <f t="shared" si="0"/>
        <v>0</v>
      </c>
      <c r="K16" s="1278">
        <f t="shared" si="0"/>
        <v>73222.626869678003</v>
      </c>
      <c r="L16" s="1278">
        <f t="shared" si="0"/>
        <v>296985.62686967797</v>
      </c>
      <c r="M16" s="1278">
        <f t="shared" si="0"/>
        <v>1043.8999999999999</v>
      </c>
      <c r="N16" s="1278">
        <f t="shared" si="0"/>
        <v>9641.6</v>
      </c>
      <c r="O16" s="1278">
        <f t="shared" si="0"/>
        <v>10685.5</v>
      </c>
      <c r="P16" s="1278">
        <f t="shared" si="0"/>
        <v>2820.7</v>
      </c>
      <c r="Q16" s="1278">
        <f t="shared" si="0"/>
        <v>2645.2</v>
      </c>
      <c r="R16" s="1278">
        <f t="shared" si="0"/>
        <v>5491.5999999999995</v>
      </c>
      <c r="S16" s="1278">
        <f t="shared" si="0"/>
        <v>14431.499999999998</v>
      </c>
      <c r="T16" s="1278">
        <f t="shared" si="0"/>
        <v>3456.9</v>
      </c>
      <c r="U16" s="967" t="s">
        <v>1904</v>
      </c>
      <c r="V16" s="966" t="s">
        <v>1904</v>
      </c>
      <c r="W16" s="1278">
        <f t="shared" ref="W16:AO16" si="1">SUM(W17:W28)</f>
        <v>5431.6</v>
      </c>
      <c r="X16" s="1278">
        <f t="shared" si="1"/>
        <v>6020.7</v>
      </c>
      <c r="Y16" s="1278">
        <f t="shared" si="1"/>
        <v>7816.6</v>
      </c>
      <c r="Z16" s="1278">
        <f t="shared" si="1"/>
        <v>48167.299999999996</v>
      </c>
      <c r="AA16" s="1278">
        <f t="shared" si="1"/>
        <v>18668.200000000004</v>
      </c>
      <c r="AB16" s="1278">
        <f t="shared" si="1"/>
        <v>1231.2</v>
      </c>
      <c r="AC16" s="1278">
        <f t="shared" si="1"/>
        <v>9402.2000000000007</v>
      </c>
      <c r="AD16" s="1278">
        <f t="shared" si="1"/>
        <v>5824.4999999999991</v>
      </c>
      <c r="AE16" s="1278">
        <f t="shared" si="1"/>
        <v>20030.694400000004</v>
      </c>
      <c r="AF16" s="1278">
        <f t="shared" si="1"/>
        <v>24638.299999999996</v>
      </c>
      <c r="AG16" s="1278">
        <f t="shared" si="1"/>
        <v>17750.5</v>
      </c>
      <c r="AH16" s="1278">
        <f t="shared" si="1"/>
        <v>41881.9</v>
      </c>
      <c r="AI16" s="1278">
        <f t="shared" si="1"/>
        <v>6817.7</v>
      </c>
      <c r="AJ16" s="1278">
        <f t="shared" si="1"/>
        <v>36363.199999999997</v>
      </c>
      <c r="AK16" s="1278">
        <f t="shared" si="1"/>
        <v>43242.479999999996</v>
      </c>
      <c r="AL16" s="1278">
        <f t="shared" si="1"/>
        <v>138259.10559999998</v>
      </c>
      <c r="AM16" s="1278">
        <f t="shared" si="1"/>
        <v>460392.08</v>
      </c>
      <c r="AN16" s="1278">
        <f t="shared" si="1"/>
        <v>471077.57999999996</v>
      </c>
      <c r="AO16" s="1278">
        <f t="shared" si="1"/>
        <v>-174091.95313032204</v>
      </c>
      <c r="AP16" s="967" t="s">
        <v>1904</v>
      </c>
    </row>
    <row r="17" spans="1:42" s="322" customFormat="1" ht="10.7" customHeight="1">
      <c r="A17" s="601" t="s">
        <v>742</v>
      </c>
      <c r="B17" s="476">
        <v>111</v>
      </c>
      <c r="C17" s="476">
        <v>439</v>
      </c>
      <c r="D17" s="476">
        <v>0</v>
      </c>
      <c r="E17" s="296">
        <v>89</v>
      </c>
      <c r="F17" s="476">
        <f>49+222</f>
        <v>271</v>
      </c>
      <c r="G17" s="476">
        <v>18426</v>
      </c>
      <c r="H17" s="476">
        <v>99</v>
      </c>
      <c r="I17" s="476">
        <v>4</v>
      </c>
      <c r="J17" s="476">
        <v>0</v>
      </c>
      <c r="K17" s="476">
        <f t="shared" ref="K17:K28" si="2">L17-SUM(B17:J17)</f>
        <v>7058.0165647039976</v>
      </c>
      <c r="L17" s="476">
        <f>21570+83.747222*58.832</f>
        <v>26497.016564703998</v>
      </c>
      <c r="M17" s="476">
        <v>284.8</v>
      </c>
      <c r="N17" s="476">
        <v>974.8</v>
      </c>
      <c r="O17" s="476">
        <f t="shared" ref="O17:O53" si="3">M17+N17</f>
        <v>1259.5999999999999</v>
      </c>
      <c r="P17" s="296">
        <v>287</v>
      </c>
      <c r="Q17" s="296">
        <v>249.8</v>
      </c>
      <c r="R17" s="296">
        <v>187.9</v>
      </c>
      <c r="S17" s="296">
        <v>1080.4000000000001</v>
      </c>
      <c r="T17" s="296">
        <v>107.7</v>
      </c>
      <c r="U17" s="602" t="s">
        <v>742</v>
      </c>
      <c r="V17" s="601" t="s">
        <v>742</v>
      </c>
      <c r="W17" s="296">
        <v>276.90000000000003</v>
      </c>
      <c r="X17" s="296">
        <v>359.1</v>
      </c>
      <c r="Y17" s="296">
        <v>458.7</v>
      </c>
      <c r="Z17" s="296">
        <v>3266.2</v>
      </c>
      <c r="AA17" s="296">
        <v>1671.1</v>
      </c>
      <c r="AB17" s="296">
        <v>114.9</v>
      </c>
      <c r="AC17" s="296">
        <v>346.1</v>
      </c>
      <c r="AD17" s="296">
        <v>513.70000000000005</v>
      </c>
      <c r="AE17" s="296">
        <v>1773.1</v>
      </c>
      <c r="AF17" s="296">
        <v>2524.8000000000002</v>
      </c>
      <c r="AG17" s="296">
        <v>1678.7</v>
      </c>
      <c r="AH17" s="296">
        <v>3610.7000000000003</v>
      </c>
      <c r="AI17" s="296">
        <v>597.4</v>
      </c>
      <c r="AJ17" s="296">
        <v>3394.7</v>
      </c>
      <c r="AK17" s="296">
        <v>3424.7</v>
      </c>
      <c r="AL17" s="296">
        <v>11080.800000000003</v>
      </c>
      <c r="AM17" s="296">
        <f t="shared" ref="AM17:AM22" si="4">SUM(P17:T17)+SUM(W17:AL17)</f>
        <v>37004.400000000009</v>
      </c>
      <c r="AN17" s="296">
        <f t="shared" ref="AN17:AN28" si="5">O17+AM17</f>
        <v>38264.000000000007</v>
      </c>
      <c r="AO17" s="296">
        <f t="shared" ref="AO17:AO28" si="6">L17-AN17</f>
        <v>-11766.98343529601</v>
      </c>
      <c r="AP17" s="602" t="s">
        <v>742</v>
      </c>
    </row>
    <row r="18" spans="1:42" s="47" customFormat="1" ht="10.7" customHeight="1">
      <c r="A18" s="390" t="s">
        <v>132</v>
      </c>
      <c r="B18" s="497">
        <v>85</v>
      </c>
      <c r="C18" s="497">
        <v>405</v>
      </c>
      <c r="D18" s="497">
        <v>0</v>
      </c>
      <c r="E18" s="363">
        <v>109</v>
      </c>
      <c r="F18" s="497">
        <f>32+278</f>
        <v>310</v>
      </c>
      <c r="G18" s="497">
        <v>15451</v>
      </c>
      <c r="H18" s="497">
        <v>0</v>
      </c>
      <c r="I18" s="497">
        <v>0</v>
      </c>
      <c r="J18" s="497">
        <v>0</v>
      </c>
      <c r="K18" s="497">
        <f t="shared" si="2"/>
        <v>5171.7324999999983</v>
      </c>
      <c r="L18" s="497">
        <f>18001+83.75*42.158</f>
        <v>21531.732499999998</v>
      </c>
      <c r="M18" s="497">
        <v>113.9</v>
      </c>
      <c r="N18" s="497">
        <v>327.10000000000002</v>
      </c>
      <c r="O18" s="497">
        <f t="shared" si="3"/>
        <v>441</v>
      </c>
      <c r="P18" s="363">
        <v>133.4</v>
      </c>
      <c r="Q18" s="363">
        <v>296.09999999999997</v>
      </c>
      <c r="R18" s="363">
        <v>591.79999999999995</v>
      </c>
      <c r="S18" s="363">
        <v>1035.8</v>
      </c>
      <c r="T18" s="363">
        <v>180.8</v>
      </c>
      <c r="U18" s="391" t="s">
        <v>132</v>
      </c>
      <c r="V18" s="390" t="s">
        <v>743</v>
      </c>
      <c r="W18" s="363">
        <v>396.5</v>
      </c>
      <c r="X18" s="363">
        <v>290.60000000000002</v>
      </c>
      <c r="Y18" s="363">
        <v>958</v>
      </c>
      <c r="Z18" s="363">
        <v>3349.5</v>
      </c>
      <c r="AA18" s="363">
        <v>1345.9</v>
      </c>
      <c r="AB18" s="363">
        <v>74.900000000000006</v>
      </c>
      <c r="AC18" s="363">
        <v>164.1</v>
      </c>
      <c r="AD18" s="363">
        <v>405.8</v>
      </c>
      <c r="AE18" s="363">
        <v>1454.1</v>
      </c>
      <c r="AF18" s="363">
        <v>1824.3000000000002</v>
      </c>
      <c r="AG18" s="363">
        <v>1420.9</v>
      </c>
      <c r="AH18" s="363">
        <v>3079.5</v>
      </c>
      <c r="AI18" s="363">
        <v>502</v>
      </c>
      <c r="AJ18" s="363">
        <v>2268.3000000000002</v>
      </c>
      <c r="AK18" s="363">
        <v>3239.7999999999997</v>
      </c>
      <c r="AL18" s="363">
        <v>9750.3999999999978</v>
      </c>
      <c r="AM18" s="363">
        <f t="shared" si="4"/>
        <v>32762.5</v>
      </c>
      <c r="AN18" s="363">
        <f t="shared" si="5"/>
        <v>33203.5</v>
      </c>
      <c r="AO18" s="363">
        <f t="shared" si="6"/>
        <v>-11671.767500000002</v>
      </c>
      <c r="AP18" s="391" t="s">
        <v>743</v>
      </c>
    </row>
    <row r="19" spans="1:42" s="47" customFormat="1" ht="10.7" customHeight="1">
      <c r="A19" s="601" t="s">
        <v>737</v>
      </c>
      <c r="B19" s="476">
        <v>91</v>
      </c>
      <c r="C19" s="476">
        <v>471</v>
      </c>
      <c r="D19" s="476">
        <v>1</v>
      </c>
      <c r="E19" s="296">
        <v>135</v>
      </c>
      <c r="F19" s="476">
        <v>351</v>
      </c>
      <c r="G19" s="476">
        <v>18373</v>
      </c>
      <c r="H19" s="476">
        <v>0</v>
      </c>
      <c r="I19" s="476">
        <v>6</v>
      </c>
      <c r="J19" s="476">
        <v>0</v>
      </c>
      <c r="K19" s="476">
        <f t="shared" si="2"/>
        <v>5727.0662499999999</v>
      </c>
      <c r="L19" s="476">
        <f>21507+83.75*43.559</f>
        <v>25155.06625</v>
      </c>
      <c r="M19" s="476">
        <v>102.4</v>
      </c>
      <c r="N19" s="476">
        <v>865.7</v>
      </c>
      <c r="O19" s="476">
        <f t="shared" si="3"/>
        <v>968.1</v>
      </c>
      <c r="P19" s="296">
        <v>172.4</v>
      </c>
      <c r="Q19" s="296">
        <v>197.4</v>
      </c>
      <c r="R19" s="296">
        <v>308.7</v>
      </c>
      <c r="S19" s="296">
        <v>1153.9000000000001</v>
      </c>
      <c r="T19" s="296">
        <v>215.5</v>
      </c>
      <c r="U19" s="602" t="s">
        <v>737</v>
      </c>
      <c r="V19" s="601" t="s">
        <v>737</v>
      </c>
      <c r="W19" s="296">
        <v>212.8</v>
      </c>
      <c r="X19" s="296">
        <v>457.70000000000005</v>
      </c>
      <c r="Y19" s="296">
        <v>453.4</v>
      </c>
      <c r="Z19" s="296">
        <v>3569.2</v>
      </c>
      <c r="AA19" s="296">
        <v>1670.2</v>
      </c>
      <c r="AB19" s="296">
        <v>140.1</v>
      </c>
      <c r="AC19" s="296">
        <v>630.40000000000009</v>
      </c>
      <c r="AD19" s="296">
        <v>519.5</v>
      </c>
      <c r="AE19" s="296">
        <v>1710.6999999999998</v>
      </c>
      <c r="AF19" s="296">
        <v>2048.6999999999998</v>
      </c>
      <c r="AG19" s="296">
        <v>1711.1999999999998</v>
      </c>
      <c r="AH19" s="296">
        <v>3787.9</v>
      </c>
      <c r="AI19" s="296">
        <v>598.1</v>
      </c>
      <c r="AJ19" s="296">
        <v>2592.1999999999998</v>
      </c>
      <c r="AK19" s="296">
        <v>3858.9800000000005</v>
      </c>
      <c r="AL19" s="296">
        <v>12817.099999999993</v>
      </c>
      <c r="AM19" s="296">
        <f t="shared" si="4"/>
        <v>38826.079999999994</v>
      </c>
      <c r="AN19" s="296">
        <f t="shared" si="5"/>
        <v>39794.179999999993</v>
      </c>
      <c r="AO19" s="296">
        <f t="shared" si="6"/>
        <v>-14639.113749999993</v>
      </c>
      <c r="AP19" s="602" t="s">
        <v>737</v>
      </c>
    </row>
    <row r="20" spans="1:42" s="47" customFormat="1" ht="10.7" customHeight="1">
      <c r="A20" s="390" t="s">
        <v>744</v>
      </c>
      <c r="B20" s="497">
        <v>71</v>
      </c>
      <c r="C20" s="497">
        <v>503</v>
      </c>
      <c r="D20" s="497">
        <v>2</v>
      </c>
      <c r="E20" s="363">
        <v>117</v>
      </c>
      <c r="F20" s="497">
        <v>359</v>
      </c>
      <c r="G20" s="497">
        <v>18056</v>
      </c>
      <c r="H20" s="497">
        <v>0</v>
      </c>
      <c r="I20" s="497">
        <v>4</v>
      </c>
      <c r="J20" s="497">
        <v>0</v>
      </c>
      <c r="K20" s="497">
        <f t="shared" si="2"/>
        <v>6202.8272990000005</v>
      </c>
      <c r="L20" s="497">
        <f>21229+83.817*48.747</f>
        <v>25314.827299</v>
      </c>
      <c r="M20" s="497">
        <v>82.5</v>
      </c>
      <c r="N20" s="497">
        <v>914.5</v>
      </c>
      <c r="O20" s="497">
        <f t="shared" si="3"/>
        <v>997</v>
      </c>
      <c r="P20" s="363">
        <v>228.10000000000002</v>
      </c>
      <c r="Q20" s="363">
        <v>187.2</v>
      </c>
      <c r="R20" s="363">
        <v>288</v>
      </c>
      <c r="S20" s="363">
        <v>1474.7</v>
      </c>
      <c r="T20" s="363">
        <v>283.3</v>
      </c>
      <c r="U20" s="391" t="s">
        <v>744</v>
      </c>
      <c r="V20" s="390" t="s">
        <v>744</v>
      </c>
      <c r="W20" s="363">
        <v>592.1</v>
      </c>
      <c r="X20" s="363">
        <v>556.20000000000005</v>
      </c>
      <c r="Y20" s="363">
        <v>969.3</v>
      </c>
      <c r="Z20" s="363">
        <v>4377.6000000000004</v>
      </c>
      <c r="AA20" s="363">
        <v>1673.2</v>
      </c>
      <c r="AB20" s="363">
        <v>115.5</v>
      </c>
      <c r="AC20" s="363">
        <v>700.09999999999991</v>
      </c>
      <c r="AD20" s="363">
        <v>514.79999999999995</v>
      </c>
      <c r="AE20" s="363">
        <v>1719.1000000000001</v>
      </c>
      <c r="AF20" s="363">
        <v>2125.3000000000002</v>
      </c>
      <c r="AG20" s="363">
        <v>1536.2</v>
      </c>
      <c r="AH20" s="363">
        <v>3599.6</v>
      </c>
      <c r="AI20" s="363">
        <v>567.9</v>
      </c>
      <c r="AJ20" s="363">
        <v>3156</v>
      </c>
      <c r="AK20" s="363">
        <v>3503.1</v>
      </c>
      <c r="AL20" s="363">
        <v>13468.400000000001</v>
      </c>
      <c r="AM20" s="363">
        <f t="shared" si="4"/>
        <v>41635.700000000004</v>
      </c>
      <c r="AN20" s="363">
        <f t="shared" si="5"/>
        <v>42632.700000000004</v>
      </c>
      <c r="AO20" s="363">
        <f t="shared" si="6"/>
        <v>-17317.872701000004</v>
      </c>
      <c r="AP20" s="391" t="s">
        <v>744</v>
      </c>
    </row>
    <row r="21" spans="1:42" s="47" customFormat="1" ht="10.7" customHeight="1">
      <c r="A21" s="601" t="s">
        <v>745</v>
      </c>
      <c r="B21" s="476">
        <v>79</v>
      </c>
      <c r="C21" s="296">
        <v>384</v>
      </c>
      <c r="D21" s="476">
        <v>3</v>
      </c>
      <c r="E21" s="296">
        <v>102</v>
      </c>
      <c r="F21" s="476">
        <f>41+291</f>
        <v>332</v>
      </c>
      <c r="G21" s="476">
        <v>15887</v>
      </c>
      <c r="H21" s="476">
        <v>0</v>
      </c>
      <c r="I21" s="476">
        <v>5</v>
      </c>
      <c r="J21" s="476">
        <v>0</v>
      </c>
      <c r="K21" s="476">
        <f t="shared" si="2"/>
        <v>5775.1984008479994</v>
      </c>
      <c r="L21" s="476">
        <f>18499+83.873462*48.504</f>
        <v>22567.198400847999</v>
      </c>
      <c r="M21" s="476">
        <v>54.3</v>
      </c>
      <c r="N21" s="476">
        <v>835.5</v>
      </c>
      <c r="O21" s="476">
        <f t="shared" si="3"/>
        <v>889.8</v>
      </c>
      <c r="P21" s="296">
        <v>232.6</v>
      </c>
      <c r="Q21" s="296">
        <v>169.39999999999998</v>
      </c>
      <c r="R21" s="296">
        <v>667.59999999999991</v>
      </c>
      <c r="S21" s="296">
        <v>1532.2</v>
      </c>
      <c r="T21" s="296">
        <v>200.5</v>
      </c>
      <c r="U21" s="602" t="s">
        <v>745</v>
      </c>
      <c r="V21" s="601" t="s">
        <v>745</v>
      </c>
      <c r="W21" s="296">
        <v>204.2</v>
      </c>
      <c r="X21" s="296">
        <v>527.1</v>
      </c>
      <c r="Y21" s="296">
        <v>497.8</v>
      </c>
      <c r="Z21" s="296">
        <v>5221.1000000000004</v>
      </c>
      <c r="AA21" s="296">
        <v>1415.6</v>
      </c>
      <c r="AB21" s="296">
        <v>90.300000000000011</v>
      </c>
      <c r="AC21" s="296">
        <v>1251.9000000000001</v>
      </c>
      <c r="AD21" s="296">
        <v>443.9</v>
      </c>
      <c r="AE21" s="296">
        <v>1563.6</v>
      </c>
      <c r="AF21" s="296">
        <v>1739</v>
      </c>
      <c r="AG21" s="296">
        <v>1332.4</v>
      </c>
      <c r="AH21" s="296">
        <v>3238.5</v>
      </c>
      <c r="AI21" s="296">
        <v>551.70000000000005</v>
      </c>
      <c r="AJ21" s="296">
        <v>2580</v>
      </c>
      <c r="AK21" s="296">
        <v>2994</v>
      </c>
      <c r="AL21" s="296">
        <v>10070.799999999997</v>
      </c>
      <c r="AM21" s="296">
        <f t="shared" si="4"/>
        <v>36524.200000000004</v>
      </c>
      <c r="AN21" s="296">
        <f t="shared" si="5"/>
        <v>37414.000000000007</v>
      </c>
      <c r="AO21" s="296">
        <f t="shared" si="6"/>
        <v>-14846.801599152008</v>
      </c>
      <c r="AP21" s="602" t="s">
        <v>745</v>
      </c>
    </row>
    <row r="22" spans="1:42" s="47" customFormat="1" ht="10.7" customHeight="1">
      <c r="A22" s="390" t="s">
        <v>738</v>
      </c>
      <c r="B22" s="497">
        <v>78</v>
      </c>
      <c r="C22" s="497">
        <v>405</v>
      </c>
      <c r="D22" s="497">
        <v>3</v>
      </c>
      <c r="E22" s="363">
        <v>86</v>
      </c>
      <c r="F22" s="497">
        <v>283</v>
      </c>
      <c r="G22" s="497">
        <v>15793</v>
      </c>
      <c r="H22" s="497">
        <v>0</v>
      </c>
      <c r="I22" s="497">
        <v>1</v>
      </c>
      <c r="J22" s="497">
        <v>0</v>
      </c>
      <c r="K22" s="497">
        <f t="shared" si="2"/>
        <v>6183.7632000000012</v>
      </c>
      <c r="L22" s="497">
        <f>18278+54.288*83.9</f>
        <v>22832.763200000001</v>
      </c>
      <c r="M22" s="497">
        <v>39</v>
      </c>
      <c r="N22" s="497">
        <v>621.80000000000007</v>
      </c>
      <c r="O22" s="497">
        <f t="shared" si="3"/>
        <v>660.80000000000007</v>
      </c>
      <c r="P22" s="363">
        <v>240.7</v>
      </c>
      <c r="Q22" s="363">
        <v>173.1</v>
      </c>
      <c r="R22" s="363">
        <v>141.30000000000001</v>
      </c>
      <c r="S22" s="363">
        <v>903.69999999999993</v>
      </c>
      <c r="T22" s="363">
        <v>155</v>
      </c>
      <c r="U22" s="391" t="s">
        <v>738</v>
      </c>
      <c r="V22" s="390" t="s">
        <v>738</v>
      </c>
      <c r="W22" s="363">
        <v>836.90000000000009</v>
      </c>
      <c r="X22" s="363">
        <v>444.20000000000005</v>
      </c>
      <c r="Y22" s="363">
        <v>0</v>
      </c>
      <c r="Z22" s="363">
        <v>3171.4</v>
      </c>
      <c r="AA22" s="363">
        <v>1476.2</v>
      </c>
      <c r="AB22" s="363">
        <v>85.6</v>
      </c>
      <c r="AC22" s="363">
        <v>1104</v>
      </c>
      <c r="AD22" s="363">
        <v>518.70000000000005</v>
      </c>
      <c r="AE22" s="363">
        <v>1601</v>
      </c>
      <c r="AF22" s="363">
        <v>1806</v>
      </c>
      <c r="AG22" s="363">
        <v>1547.1</v>
      </c>
      <c r="AH22" s="363">
        <v>3413.4</v>
      </c>
      <c r="AI22" s="363">
        <v>594.5</v>
      </c>
      <c r="AJ22" s="363">
        <v>2971.1</v>
      </c>
      <c r="AK22" s="363">
        <v>4317.6000000000004</v>
      </c>
      <c r="AL22" s="363">
        <v>11661.000000000004</v>
      </c>
      <c r="AM22" s="363">
        <f t="shared" si="4"/>
        <v>37162.5</v>
      </c>
      <c r="AN22" s="363">
        <f t="shared" si="5"/>
        <v>37823.300000000003</v>
      </c>
      <c r="AO22" s="363">
        <f t="shared" si="6"/>
        <v>-14990.536800000002</v>
      </c>
      <c r="AP22" s="391" t="s">
        <v>738</v>
      </c>
    </row>
    <row r="23" spans="1:42" s="333" customFormat="1" ht="10.7" customHeight="1">
      <c r="A23" s="601" t="s">
        <v>746</v>
      </c>
      <c r="B23" s="476">
        <v>90</v>
      </c>
      <c r="C23" s="476">
        <v>508</v>
      </c>
      <c r="D23" s="476">
        <v>3</v>
      </c>
      <c r="E23" s="296">
        <v>93</v>
      </c>
      <c r="F23" s="476">
        <f>74+322</f>
        <v>396</v>
      </c>
      <c r="G23" s="476">
        <v>19483</v>
      </c>
      <c r="H23" s="476">
        <v>0</v>
      </c>
      <c r="I23" s="476">
        <v>0</v>
      </c>
      <c r="J23" s="476">
        <v>0</v>
      </c>
      <c r="K23" s="476">
        <f t="shared" si="2"/>
        <v>6620.2515182200004</v>
      </c>
      <c r="L23" s="476">
        <f>22605+54.66*83.941667</f>
        <v>27193.25151822</v>
      </c>
      <c r="M23" s="476">
        <v>75.400000000000006</v>
      </c>
      <c r="N23" s="476">
        <v>1044.5999999999999</v>
      </c>
      <c r="O23" s="476">
        <f t="shared" si="3"/>
        <v>1120</v>
      </c>
      <c r="P23" s="296">
        <v>286.2</v>
      </c>
      <c r="Q23" s="296">
        <v>200.8</v>
      </c>
      <c r="R23" s="296">
        <v>459.29999999999995</v>
      </c>
      <c r="S23" s="296">
        <v>1245.2</v>
      </c>
      <c r="T23" s="296">
        <v>311.89999999999998</v>
      </c>
      <c r="U23" s="602" t="s">
        <v>746</v>
      </c>
      <c r="V23" s="601" t="s">
        <v>746</v>
      </c>
      <c r="W23" s="296">
        <v>643.4</v>
      </c>
      <c r="X23" s="296">
        <v>531.90000000000009</v>
      </c>
      <c r="Y23" s="296">
        <v>416.3</v>
      </c>
      <c r="Z23" s="296">
        <v>4239.3999999999996</v>
      </c>
      <c r="AA23" s="296">
        <v>1825.2</v>
      </c>
      <c r="AB23" s="296">
        <v>115.5</v>
      </c>
      <c r="AC23" s="296">
        <v>1809.1</v>
      </c>
      <c r="AD23" s="296">
        <v>530.29999999999995</v>
      </c>
      <c r="AE23" s="296">
        <v>1690.3999999999999</v>
      </c>
      <c r="AF23" s="296">
        <v>2347.6999999999998</v>
      </c>
      <c r="AG23" s="296">
        <v>1651.3000000000002</v>
      </c>
      <c r="AH23" s="296">
        <v>4370.8999999999996</v>
      </c>
      <c r="AI23" s="296">
        <v>614.9</v>
      </c>
      <c r="AJ23" s="296">
        <v>3141.3</v>
      </c>
      <c r="AK23" s="296">
        <v>5289.7999999999993</v>
      </c>
      <c r="AL23" s="296">
        <v>13689.599999999997</v>
      </c>
      <c r="AM23" s="296">
        <f t="shared" ref="AM23" si="7">SUM(P23:T23)+SUM(W23:AL23)</f>
        <v>45410.399999999994</v>
      </c>
      <c r="AN23" s="296">
        <f t="shared" si="5"/>
        <v>46530.399999999994</v>
      </c>
      <c r="AO23" s="296">
        <f t="shared" si="6"/>
        <v>-19337.148481779994</v>
      </c>
      <c r="AP23" s="602" t="s">
        <v>746</v>
      </c>
    </row>
    <row r="24" spans="1:42" s="333" customFormat="1" ht="10.7" customHeight="1">
      <c r="A24" s="390" t="s">
        <v>747</v>
      </c>
      <c r="B24" s="497">
        <v>76</v>
      </c>
      <c r="C24" s="497">
        <v>402</v>
      </c>
      <c r="D24" s="497">
        <v>1</v>
      </c>
      <c r="E24" s="363">
        <v>66</v>
      </c>
      <c r="F24" s="497">
        <f>70+213</f>
        <v>283</v>
      </c>
      <c r="G24" s="497">
        <v>16942</v>
      </c>
      <c r="H24" s="497">
        <v>0</v>
      </c>
      <c r="I24" s="497">
        <v>0</v>
      </c>
      <c r="J24" s="497">
        <v>0</v>
      </c>
      <c r="K24" s="497">
        <f t="shared" si="2"/>
        <v>5470.65126513</v>
      </c>
      <c r="L24" s="497">
        <f>19426+45.39*84.041667</f>
        <v>23240.65126513</v>
      </c>
      <c r="M24" s="497">
        <v>74.099999999999994</v>
      </c>
      <c r="N24" s="497">
        <v>800.5</v>
      </c>
      <c r="O24" s="497">
        <f t="shared" si="3"/>
        <v>874.6</v>
      </c>
      <c r="P24" s="363">
        <v>246.2</v>
      </c>
      <c r="Q24" s="363">
        <v>185.3</v>
      </c>
      <c r="R24" s="363">
        <v>368.2</v>
      </c>
      <c r="S24" s="363">
        <v>1006.5</v>
      </c>
      <c r="T24" s="363">
        <v>242.8</v>
      </c>
      <c r="U24" s="391" t="s">
        <v>747</v>
      </c>
      <c r="V24" s="390" t="s">
        <v>747</v>
      </c>
      <c r="W24" s="363">
        <v>414.9</v>
      </c>
      <c r="X24" s="363">
        <v>426.7</v>
      </c>
      <c r="Y24" s="363">
        <v>1094</v>
      </c>
      <c r="Z24" s="363">
        <v>2614.3000000000002</v>
      </c>
      <c r="AA24" s="363">
        <v>1303.6000000000001</v>
      </c>
      <c r="AB24" s="363">
        <v>67.099999999999994</v>
      </c>
      <c r="AC24" s="363">
        <v>1277.3</v>
      </c>
      <c r="AD24" s="363">
        <v>389.8</v>
      </c>
      <c r="AE24" s="363">
        <v>1323.6</v>
      </c>
      <c r="AF24" s="363">
        <v>1727.3</v>
      </c>
      <c r="AG24" s="363">
        <v>1287.8999999999999</v>
      </c>
      <c r="AH24" s="363">
        <v>3352.4</v>
      </c>
      <c r="AI24" s="363">
        <v>441.7</v>
      </c>
      <c r="AJ24" s="363">
        <v>2267.5</v>
      </c>
      <c r="AK24" s="363">
        <v>3615.5</v>
      </c>
      <c r="AL24" s="363">
        <v>10113.5</v>
      </c>
      <c r="AM24" s="363">
        <f t="shared" ref="AM24" si="8">SUM(P24:T24)+SUM(W24:AL24)</f>
        <v>33766.1</v>
      </c>
      <c r="AN24" s="363">
        <f t="shared" si="5"/>
        <v>34640.699999999997</v>
      </c>
      <c r="AO24" s="363">
        <f t="shared" si="6"/>
        <v>-11400.048734869997</v>
      </c>
      <c r="AP24" s="391" t="s">
        <v>747</v>
      </c>
    </row>
    <row r="25" spans="1:42" s="333" customFormat="1" ht="10.7" customHeight="1">
      <c r="A25" s="601" t="s">
        <v>491</v>
      </c>
      <c r="B25" s="476">
        <v>106</v>
      </c>
      <c r="C25" s="476">
        <v>460</v>
      </c>
      <c r="D25" s="476">
        <v>1</v>
      </c>
      <c r="E25" s="296">
        <v>115</v>
      </c>
      <c r="F25" s="476">
        <f>223+65</f>
        <v>288</v>
      </c>
      <c r="G25" s="476">
        <v>19970</v>
      </c>
      <c r="H25" s="476">
        <v>0</v>
      </c>
      <c r="I25" s="476">
        <v>0</v>
      </c>
      <c r="J25" s="476">
        <v>0</v>
      </c>
      <c r="K25" s="476">
        <f t="shared" si="2"/>
        <v>6223.7455947919989</v>
      </c>
      <c r="L25" s="476">
        <f>22760+52.296*84.208077</f>
        <v>27163.745594791999</v>
      </c>
      <c r="M25" s="476">
        <v>74.099999999999994</v>
      </c>
      <c r="N25" s="476">
        <v>942.5</v>
      </c>
      <c r="O25" s="476">
        <f t="shared" si="3"/>
        <v>1016.6</v>
      </c>
      <c r="P25" s="296">
        <v>249.7</v>
      </c>
      <c r="Q25" s="296">
        <v>208</v>
      </c>
      <c r="R25" s="296">
        <v>708.3</v>
      </c>
      <c r="S25" s="296">
        <v>1056</v>
      </c>
      <c r="T25" s="296">
        <v>685.6</v>
      </c>
      <c r="U25" s="602" t="s">
        <v>491</v>
      </c>
      <c r="V25" s="601" t="s">
        <v>739</v>
      </c>
      <c r="W25" s="296">
        <v>722.2</v>
      </c>
      <c r="X25" s="296">
        <v>711.1</v>
      </c>
      <c r="Y25" s="296">
        <v>815.8</v>
      </c>
      <c r="Z25" s="296">
        <v>4032</v>
      </c>
      <c r="AA25" s="296">
        <v>1500.8000000000002</v>
      </c>
      <c r="AB25" s="296">
        <v>120.30000000000001</v>
      </c>
      <c r="AC25" s="296">
        <v>1336.8</v>
      </c>
      <c r="AD25" s="296">
        <v>465.4</v>
      </c>
      <c r="AE25" s="296">
        <v>1760</v>
      </c>
      <c r="AF25" s="296">
        <v>2523.6</v>
      </c>
      <c r="AG25" s="296">
        <v>1469</v>
      </c>
      <c r="AH25" s="296">
        <v>3400.8</v>
      </c>
      <c r="AI25" s="296">
        <v>554.5</v>
      </c>
      <c r="AJ25" s="296">
        <v>3335.3</v>
      </c>
      <c r="AK25" s="296">
        <v>3521.4</v>
      </c>
      <c r="AL25" s="296">
        <v>11533.000000000002</v>
      </c>
      <c r="AM25" s="296">
        <f t="shared" ref="AM25" si="9">SUM(P25:T25)+SUM(W25:AL25)</f>
        <v>40709.599999999999</v>
      </c>
      <c r="AN25" s="296">
        <f t="shared" si="5"/>
        <v>41726.199999999997</v>
      </c>
      <c r="AO25" s="296">
        <f t="shared" si="6"/>
        <v>-14562.454405207998</v>
      </c>
      <c r="AP25" s="602" t="s">
        <v>739</v>
      </c>
    </row>
    <row r="26" spans="1:42" s="333" customFormat="1" ht="10.7" customHeight="1">
      <c r="A26" s="390" t="s">
        <v>748</v>
      </c>
      <c r="B26" s="497">
        <v>83</v>
      </c>
      <c r="C26" s="497">
        <v>508</v>
      </c>
      <c r="D26" s="497">
        <v>3</v>
      </c>
      <c r="E26" s="363">
        <v>111</v>
      </c>
      <c r="F26" s="497">
        <f>58+184</f>
        <v>242</v>
      </c>
      <c r="G26" s="497">
        <v>18452</v>
      </c>
      <c r="H26" s="497">
        <v>0</v>
      </c>
      <c r="I26" s="497">
        <v>0</v>
      </c>
      <c r="J26" s="497">
        <v>0</v>
      </c>
      <c r="K26" s="497">
        <f t="shared" si="2"/>
        <v>5800.9034490839986</v>
      </c>
      <c r="L26" s="497">
        <f>21221+47.182*84.330962</f>
        <v>25199.903449083999</v>
      </c>
      <c r="M26" s="497">
        <v>61.4</v>
      </c>
      <c r="N26" s="497">
        <v>988.1</v>
      </c>
      <c r="O26" s="497">
        <f t="shared" si="3"/>
        <v>1049.5</v>
      </c>
      <c r="P26" s="363">
        <v>182</v>
      </c>
      <c r="Q26" s="363">
        <v>286.90000000000003</v>
      </c>
      <c r="R26" s="363">
        <v>454.7</v>
      </c>
      <c r="S26" s="363">
        <v>2219.2999999999997</v>
      </c>
      <c r="T26" s="363">
        <v>507.7</v>
      </c>
      <c r="U26" s="391" t="s">
        <v>748</v>
      </c>
      <c r="V26" s="390" t="s">
        <v>748</v>
      </c>
      <c r="W26" s="363">
        <v>549.79999999999995</v>
      </c>
      <c r="X26" s="363">
        <v>668.7</v>
      </c>
      <c r="Y26" s="363">
        <v>845.8</v>
      </c>
      <c r="Z26" s="363">
        <v>4824.7</v>
      </c>
      <c r="AA26" s="363">
        <v>1725.5</v>
      </c>
      <c r="AB26" s="363">
        <v>88</v>
      </c>
      <c r="AC26" s="363">
        <v>325.89999999999998</v>
      </c>
      <c r="AD26" s="363">
        <v>492.9</v>
      </c>
      <c r="AE26" s="363">
        <v>1817.6</v>
      </c>
      <c r="AF26" s="363">
        <v>2260.8000000000002</v>
      </c>
      <c r="AG26" s="363">
        <v>1464.6</v>
      </c>
      <c r="AH26" s="363">
        <v>3764.6</v>
      </c>
      <c r="AI26" s="363">
        <v>646.4</v>
      </c>
      <c r="AJ26" s="363">
        <v>3279.8999999999996</v>
      </c>
      <c r="AK26" s="363">
        <v>3043.7</v>
      </c>
      <c r="AL26" s="363">
        <v>12373.000000000005</v>
      </c>
      <c r="AM26" s="363">
        <f t="shared" ref="AM26" si="10">SUM(P26:T26)+SUM(W26:AL26)</f>
        <v>41822.500000000007</v>
      </c>
      <c r="AN26" s="363">
        <f t="shared" si="5"/>
        <v>42872.000000000007</v>
      </c>
      <c r="AO26" s="363">
        <f t="shared" si="6"/>
        <v>-17672.096550916009</v>
      </c>
      <c r="AP26" s="391" t="s">
        <v>748</v>
      </c>
    </row>
    <row r="27" spans="1:42" s="333" customFormat="1" ht="10.7" customHeight="1">
      <c r="A27" s="601" t="s">
        <v>749</v>
      </c>
      <c r="B27" s="476">
        <v>54</v>
      </c>
      <c r="C27" s="476">
        <v>544</v>
      </c>
      <c r="D27" s="476">
        <v>2</v>
      </c>
      <c r="E27" s="296">
        <v>87</v>
      </c>
      <c r="F27" s="476">
        <f>57+176</f>
        <v>233</v>
      </c>
      <c r="G27" s="476">
        <v>18393</v>
      </c>
      <c r="H27" s="476">
        <v>0</v>
      </c>
      <c r="I27" s="476">
        <v>3</v>
      </c>
      <c r="J27" s="476">
        <v>0</v>
      </c>
      <c r="K27" s="476">
        <f t="shared" si="2"/>
        <v>7572.0323279000004</v>
      </c>
      <c r="L27" s="476">
        <f>21339+65.675*84.492308</f>
        <v>26888.0323279</v>
      </c>
      <c r="M27" s="476">
        <v>54.800000000000004</v>
      </c>
      <c r="N27" s="476">
        <v>715.59999999999991</v>
      </c>
      <c r="O27" s="476">
        <f t="shared" si="3"/>
        <v>770.39999999999986</v>
      </c>
      <c r="P27" s="296">
        <v>323.20000000000005</v>
      </c>
      <c r="Q27" s="296">
        <v>279</v>
      </c>
      <c r="R27" s="296">
        <v>820.1</v>
      </c>
      <c r="S27" s="296">
        <v>1204.9000000000001</v>
      </c>
      <c r="T27" s="296">
        <v>343.8</v>
      </c>
      <c r="U27" s="602" t="s">
        <v>749</v>
      </c>
      <c r="V27" s="601" t="s">
        <v>749</v>
      </c>
      <c r="W27" s="296">
        <v>220.2</v>
      </c>
      <c r="X27" s="296">
        <v>574.20000000000005</v>
      </c>
      <c r="Y27" s="296">
        <v>0</v>
      </c>
      <c r="Z27" s="296">
        <v>5097.8999999999996</v>
      </c>
      <c r="AA27" s="296">
        <v>1719</v>
      </c>
      <c r="AB27" s="296">
        <v>108.19999999999999</v>
      </c>
      <c r="AC27" s="296">
        <v>253.60000000000002</v>
      </c>
      <c r="AD27" s="296">
        <v>580.5</v>
      </c>
      <c r="AE27" s="296">
        <v>1967.4</v>
      </c>
      <c r="AF27" s="296">
        <v>1770.2</v>
      </c>
      <c r="AG27" s="296">
        <v>1458.9</v>
      </c>
      <c r="AH27" s="296">
        <v>3577.7</v>
      </c>
      <c r="AI27" s="296">
        <v>655.7</v>
      </c>
      <c r="AJ27" s="296">
        <v>4290.1000000000004</v>
      </c>
      <c r="AK27" s="296">
        <v>3570.1000000000004</v>
      </c>
      <c r="AL27" s="296">
        <v>12507.200000000003</v>
      </c>
      <c r="AM27" s="296">
        <f t="shared" ref="AM27" si="11">SUM(P27:T27)+SUM(W27:AL27)</f>
        <v>41321.9</v>
      </c>
      <c r="AN27" s="296">
        <f t="shared" si="5"/>
        <v>42092.3</v>
      </c>
      <c r="AO27" s="296">
        <f t="shared" si="6"/>
        <v>-15204.267672100003</v>
      </c>
      <c r="AP27" s="602" t="s">
        <v>749</v>
      </c>
    </row>
    <row r="28" spans="1:42" s="333" customFormat="1" ht="10.7" customHeight="1">
      <c r="A28" s="390" t="s">
        <v>740</v>
      </c>
      <c r="B28" s="497">
        <v>40</v>
      </c>
      <c r="C28" s="497">
        <v>439</v>
      </c>
      <c r="D28" s="497">
        <v>2</v>
      </c>
      <c r="E28" s="363">
        <v>83</v>
      </c>
      <c r="F28" s="497">
        <f>45+163</f>
        <v>208</v>
      </c>
      <c r="G28" s="497">
        <v>17131</v>
      </c>
      <c r="H28" s="497">
        <v>82</v>
      </c>
      <c r="I28" s="497">
        <v>0</v>
      </c>
      <c r="J28" s="497">
        <v>0</v>
      </c>
      <c r="K28" s="497">
        <f t="shared" si="2"/>
        <v>5416.4385000000002</v>
      </c>
      <c r="L28" s="497">
        <f>19875+41.733*84.5</f>
        <v>23401.4385</v>
      </c>
      <c r="M28" s="497">
        <v>27.2</v>
      </c>
      <c r="N28" s="497">
        <v>610.90000000000009</v>
      </c>
      <c r="O28" s="497">
        <f t="shared" si="3"/>
        <v>638.10000000000014</v>
      </c>
      <c r="P28" s="363">
        <v>239.2</v>
      </c>
      <c r="Q28" s="363">
        <v>212.2</v>
      </c>
      <c r="R28" s="363">
        <v>495.7</v>
      </c>
      <c r="S28" s="363">
        <v>518.90000000000009</v>
      </c>
      <c r="T28" s="363">
        <v>222.3</v>
      </c>
      <c r="U28" s="391" t="s">
        <v>740</v>
      </c>
      <c r="V28" s="390" t="s">
        <v>740</v>
      </c>
      <c r="W28" s="363">
        <v>361.7</v>
      </c>
      <c r="X28" s="363">
        <v>473.2</v>
      </c>
      <c r="Y28" s="363">
        <v>1307.5</v>
      </c>
      <c r="Z28" s="363">
        <v>4404</v>
      </c>
      <c r="AA28" s="363">
        <v>1341.9</v>
      </c>
      <c r="AB28" s="363">
        <v>110.8</v>
      </c>
      <c r="AC28" s="363">
        <v>202.9</v>
      </c>
      <c r="AD28" s="363">
        <v>449.2</v>
      </c>
      <c r="AE28" s="363">
        <v>1650.0944000000002</v>
      </c>
      <c r="AF28" s="363">
        <v>1940.6</v>
      </c>
      <c r="AG28" s="363">
        <v>1192.3</v>
      </c>
      <c r="AH28" s="363">
        <v>2685.9</v>
      </c>
      <c r="AI28" s="363">
        <v>492.9</v>
      </c>
      <c r="AJ28" s="363">
        <v>3086.7999999999997</v>
      </c>
      <c r="AK28" s="363">
        <v>2863.7999999999997</v>
      </c>
      <c r="AL28" s="363">
        <v>9194.3056000000015</v>
      </c>
      <c r="AM28" s="363">
        <f t="shared" ref="AM28" si="12">SUM(P28:T28)+SUM(W28:AL28)</f>
        <v>33446.200000000004</v>
      </c>
      <c r="AN28" s="363">
        <f t="shared" si="5"/>
        <v>34084.300000000003</v>
      </c>
      <c r="AO28" s="363">
        <f t="shared" si="6"/>
        <v>-10682.861500000003</v>
      </c>
      <c r="AP28" s="391" t="s">
        <v>740</v>
      </c>
    </row>
    <row r="29" spans="1:42" s="333" customFormat="1" ht="10.7" customHeight="1">
      <c r="A29" s="128" t="s">
        <v>2017</v>
      </c>
      <c r="B29" s="1277">
        <f>SUM(B30:B41)</f>
        <v>1041</v>
      </c>
      <c r="C29" s="1277">
        <f t="shared" ref="C29:T29" si="13">SUM(C30:C41)</f>
        <v>6148</v>
      </c>
      <c r="D29" s="1277">
        <f t="shared" si="13"/>
        <v>21</v>
      </c>
      <c r="E29" s="1277">
        <f t="shared" si="13"/>
        <v>751</v>
      </c>
      <c r="F29" s="1277">
        <f t="shared" si="13"/>
        <v>3445</v>
      </c>
      <c r="G29" s="1277">
        <f t="shared" si="13"/>
        <v>190740</v>
      </c>
      <c r="H29" s="1277">
        <f t="shared" si="13"/>
        <v>0</v>
      </c>
      <c r="I29" s="1277">
        <f t="shared" si="13"/>
        <v>0</v>
      </c>
      <c r="J29" s="1277">
        <f t="shared" si="13"/>
        <v>0</v>
      </c>
      <c r="K29" s="1277">
        <f t="shared" si="13"/>
        <v>63161.986787679991</v>
      </c>
      <c r="L29" s="1277">
        <f t="shared" si="13"/>
        <v>265307.98678768001</v>
      </c>
      <c r="M29" s="1277">
        <f t="shared" si="13"/>
        <v>128.4539</v>
      </c>
      <c r="N29" s="1277">
        <f t="shared" si="13"/>
        <v>12627.9982</v>
      </c>
      <c r="O29" s="1277">
        <f t="shared" si="13"/>
        <v>12756.452099999999</v>
      </c>
      <c r="P29" s="1277">
        <f t="shared" si="13"/>
        <v>2932.8680000000004</v>
      </c>
      <c r="Q29" s="1277">
        <f t="shared" si="13"/>
        <v>2773.0823999999998</v>
      </c>
      <c r="R29" s="1277">
        <f t="shared" si="13"/>
        <v>8208.4980999999989</v>
      </c>
      <c r="S29" s="1277">
        <f t="shared" si="13"/>
        <v>12284.178100000001</v>
      </c>
      <c r="T29" s="1277">
        <f t="shared" si="13"/>
        <v>4998.1288999999997</v>
      </c>
      <c r="U29" s="577" t="s">
        <v>2017</v>
      </c>
      <c r="V29" s="243" t="s">
        <v>2017</v>
      </c>
      <c r="W29" s="1277">
        <f t="shared" ref="W29:AO29" si="14">SUM(W30:W41)</f>
        <v>5341.1967999999997</v>
      </c>
      <c r="X29" s="1277">
        <f t="shared" si="14"/>
        <v>5596.1562000000004</v>
      </c>
      <c r="Y29" s="1277">
        <f t="shared" si="14"/>
        <v>2292</v>
      </c>
      <c r="Z29" s="1277">
        <f t="shared" si="14"/>
        <v>42438.809199999996</v>
      </c>
      <c r="AA29" s="1277">
        <f t="shared" si="14"/>
        <v>18733.473399999995</v>
      </c>
      <c r="AB29" s="1277">
        <f t="shared" si="14"/>
        <v>1271.8957</v>
      </c>
      <c r="AC29" s="1277">
        <f t="shared" si="14"/>
        <v>8080.4802</v>
      </c>
      <c r="AD29" s="1277">
        <f t="shared" si="14"/>
        <v>5218.0609999999997</v>
      </c>
      <c r="AE29" s="1277">
        <f t="shared" si="14"/>
        <v>19705.760500000004</v>
      </c>
      <c r="AF29" s="1277">
        <f t="shared" si="14"/>
        <v>22376.166300000001</v>
      </c>
      <c r="AG29" s="1277">
        <f t="shared" si="14"/>
        <v>14202.8307</v>
      </c>
      <c r="AH29" s="1277">
        <f t="shared" si="14"/>
        <v>36070.014900000009</v>
      </c>
      <c r="AI29" s="1277">
        <f t="shared" si="14"/>
        <v>6120.8277000000007</v>
      </c>
      <c r="AJ29" s="1277">
        <f t="shared" si="14"/>
        <v>34009.763699999996</v>
      </c>
      <c r="AK29" s="1277">
        <f t="shared" si="14"/>
        <v>31545.680499999999</v>
      </c>
      <c r="AL29" s="1277">
        <f t="shared" si="14"/>
        <v>114358.95090000001</v>
      </c>
      <c r="AM29" s="1277">
        <f t="shared" si="14"/>
        <v>398558.82319999998</v>
      </c>
      <c r="AN29" s="1277">
        <f t="shared" si="14"/>
        <v>411315.27529999992</v>
      </c>
      <c r="AO29" s="1277">
        <f t="shared" si="14"/>
        <v>-146007.28851232</v>
      </c>
      <c r="AP29" s="577" t="s">
        <v>2017</v>
      </c>
    </row>
    <row r="30" spans="1:42" s="333" customFormat="1" ht="10.7" customHeight="1">
      <c r="A30" s="385" t="s">
        <v>742</v>
      </c>
      <c r="B30" s="497">
        <v>49</v>
      </c>
      <c r="C30" s="497">
        <v>455</v>
      </c>
      <c r="D30" s="497">
        <v>0</v>
      </c>
      <c r="E30" s="497">
        <v>73</v>
      </c>
      <c r="F30" s="497">
        <f>54+196</f>
        <v>250</v>
      </c>
      <c r="G30" s="497">
        <v>19862</v>
      </c>
      <c r="H30" s="497">
        <v>0</v>
      </c>
      <c r="I30" s="497">
        <v>0</v>
      </c>
      <c r="J30" s="497">
        <v>0</v>
      </c>
      <c r="K30" s="497">
        <f t="shared" ref="K30:K39" si="15">L30-SUM(B30:J30)</f>
        <v>7293.242663099998</v>
      </c>
      <c r="L30" s="497">
        <f>22881+60.37*84.49963</f>
        <v>27982.242663099998</v>
      </c>
      <c r="M30" s="497">
        <v>22.5</v>
      </c>
      <c r="N30" s="497">
        <v>789.7</v>
      </c>
      <c r="O30" s="497">
        <f t="shared" si="3"/>
        <v>812.2</v>
      </c>
      <c r="P30" s="363">
        <v>196.3</v>
      </c>
      <c r="Q30" s="363">
        <v>309.5</v>
      </c>
      <c r="R30" s="363">
        <v>451.29999999999995</v>
      </c>
      <c r="S30" s="363">
        <v>622.9</v>
      </c>
      <c r="T30" s="363">
        <v>534.70000000000005</v>
      </c>
      <c r="U30" s="377" t="s">
        <v>742</v>
      </c>
      <c r="V30" s="376" t="s">
        <v>742</v>
      </c>
      <c r="W30" s="363">
        <v>382</v>
      </c>
      <c r="X30" s="363">
        <v>534</v>
      </c>
      <c r="Y30" s="363">
        <v>0</v>
      </c>
      <c r="Z30" s="363">
        <v>4149</v>
      </c>
      <c r="AA30" s="363">
        <v>1840</v>
      </c>
      <c r="AB30" s="363">
        <v>115.3</v>
      </c>
      <c r="AC30" s="363">
        <v>261.8</v>
      </c>
      <c r="AD30" s="363">
        <v>518.9</v>
      </c>
      <c r="AE30" s="363">
        <v>1961.9</v>
      </c>
      <c r="AF30" s="363">
        <v>2088.6</v>
      </c>
      <c r="AG30" s="363">
        <v>1460.3</v>
      </c>
      <c r="AH30" s="363">
        <v>3514.6</v>
      </c>
      <c r="AI30" s="363">
        <v>614.6</v>
      </c>
      <c r="AJ30" s="363">
        <v>3618.9</v>
      </c>
      <c r="AK30" s="363">
        <v>3941.1000000000004</v>
      </c>
      <c r="AL30" s="363">
        <v>10367.900000000001</v>
      </c>
      <c r="AM30" s="363">
        <f t="shared" ref="AM30:AM41" si="16">SUM(P30:T30)+SUM(W30:AL30)</f>
        <v>37483.599999999999</v>
      </c>
      <c r="AN30" s="363">
        <f t="shared" ref="AN30:AN41" si="17">O30+AM30</f>
        <v>38295.799999999996</v>
      </c>
      <c r="AO30" s="363">
        <f t="shared" ref="AO30:AO41" si="18">L30-AN30</f>
        <v>-10313.557336899998</v>
      </c>
      <c r="AP30" s="377" t="s">
        <v>742</v>
      </c>
    </row>
    <row r="31" spans="1:42" s="333" customFormat="1" ht="10.7" customHeight="1">
      <c r="A31" s="212" t="s">
        <v>132</v>
      </c>
      <c r="B31" s="476">
        <v>49</v>
      </c>
      <c r="C31" s="476">
        <v>445</v>
      </c>
      <c r="D31" s="476">
        <v>1</v>
      </c>
      <c r="E31" s="476">
        <v>66</v>
      </c>
      <c r="F31" s="476">
        <f>41+220</f>
        <v>261</v>
      </c>
      <c r="G31" s="476">
        <v>16539</v>
      </c>
      <c r="H31" s="476">
        <v>0</v>
      </c>
      <c r="I31" s="476">
        <v>0</v>
      </c>
      <c r="J31" s="476">
        <v>0</v>
      </c>
      <c r="K31" s="476">
        <f t="shared" si="15"/>
        <v>4931.4049999999988</v>
      </c>
      <c r="L31" s="476">
        <f>19209+36.49*84.5</f>
        <v>22292.404999999999</v>
      </c>
      <c r="M31" s="476">
        <v>2.2000000000000002</v>
      </c>
      <c r="N31" s="476">
        <v>676.1</v>
      </c>
      <c r="O31" s="1074">
        <f t="shared" si="3"/>
        <v>678.30000000000007</v>
      </c>
      <c r="P31" s="296">
        <v>204.89999999999998</v>
      </c>
      <c r="Q31" s="296">
        <v>247.1</v>
      </c>
      <c r="R31" s="296">
        <v>645.40000000000009</v>
      </c>
      <c r="S31" s="296">
        <v>877.5</v>
      </c>
      <c r="T31" s="296">
        <v>191.10000000000002</v>
      </c>
      <c r="U31" s="270" t="s">
        <v>132</v>
      </c>
      <c r="V31" s="211" t="s">
        <v>743</v>
      </c>
      <c r="W31" s="296">
        <v>281.29999999999995</v>
      </c>
      <c r="X31" s="296">
        <v>365.4</v>
      </c>
      <c r="Y31" s="296">
        <v>389.5</v>
      </c>
      <c r="Z31" s="296">
        <v>3882.3</v>
      </c>
      <c r="AA31" s="296">
        <v>1381.7</v>
      </c>
      <c r="AB31" s="296">
        <v>82</v>
      </c>
      <c r="AC31" s="296">
        <v>661.4</v>
      </c>
      <c r="AD31" s="296">
        <v>450</v>
      </c>
      <c r="AE31" s="296">
        <v>1620.6</v>
      </c>
      <c r="AF31" s="296">
        <v>1939.6</v>
      </c>
      <c r="AG31" s="296">
        <v>1229.5</v>
      </c>
      <c r="AH31" s="296">
        <v>2931</v>
      </c>
      <c r="AI31" s="296">
        <v>508.5</v>
      </c>
      <c r="AJ31" s="296">
        <v>2820.7</v>
      </c>
      <c r="AK31" s="296">
        <v>2570.6999999999998</v>
      </c>
      <c r="AL31" s="296">
        <v>8872</v>
      </c>
      <c r="AM31" s="296">
        <f t="shared" si="16"/>
        <v>32152.2</v>
      </c>
      <c r="AN31" s="296">
        <f t="shared" si="17"/>
        <v>32830.5</v>
      </c>
      <c r="AO31" s="296">
        <f t="shared" si="18"/>
        <v>-10538.095000000001</v>
      </c>
      <c r="AP31" s="270" t="s">
        <v>743</v>
      </c>
    </row>
    <row r="32" spans="1:42" s="333" customFormat="1" ht="10.7" customHeight="1">
      <c r="A32" s="385" t="s">
        <v>737</v>
      </c>
      <c r="B32" s="497">
        <v>99</v>
      </c>
      <c r="C32" s="497">
        <v>563</v>
      </c>
      <c r="D32" s="497">
        <v>1</v>
      </c>
      <c r="E32" s="497">
        <v>71</v>
      </c>
      <c r="F32" s="497">
        <f>54+288</f>
        <v>342</v>
      </c>
      <c r="G32" s="497">
        <v>18866</v>
      </c>
      <c r="H32" s="497">
        <v>0</v>
      </c>
      <c r="I32" s="497">
        <v>0</v>
      </c>
      <c r="J32" s="497">
        <v>0</v>
      </c>
      <c r="K32" s="497">
        <f t="shared" si="15"/>
        <v>6078.1699999999983</v>
      </c>
      <c r="L32" s="497">
        <f>22145+45.86*84.5</f>
        <v>26020.17</v>
      </c>
      <c r="M32" s="497">
        <v>5.2</v>
      </c>
      <c r="N32" s="497">
        <v>660</v>
      </c>
      <c r="O32" s="497">
        <f t="shared" si="3"/>
        <v>665.2</v>
      </c>
      <c r="P32" s="363">
        <v>213.3</v>
      </c>
      <c r="Q32" s="363">
        <v>198.2</v>
      </c>
      <c r="R32" s="363">
        <v>257.60000000000002</v>
      </c>
      <c r="S32" s="363">
        <v>581.20000000000005</v>
      </c>
      <c r="T32" s="363">
        <v>200.6</v>
      </c>
      <c r="U32" s="377" t="s">
        <v>737</v>
      </c>
      <c r="V32" s="376" t="s">
        <v>737</v>
      </c>
      <c r="W32" s="363">
        <v>274.39999999999998</v>
      </c>
      <c r="X32" s="363">
        <v>512</v>
      </c>
      <c r="Y32" s="363">
        <v>381.6</v>
      </c>
      <c r="Z32" s="363">
        <v>4156.5999999999995</v>
      </c>
      <c r="AA32" s="363">
        <v>1808</v>
      </c>
      <c r="AB32" s="363">
        <v>146.4</v>
      </c>
      <c r="AC32" s="363">
        <v>534.6</v>
      </c>
      <c r="AD32" s="363">
        <v>489.9</v>
      </c>
      <c r="AE32" s="363">
        <v>1797.6</v>
      </c>
      <c r="AF32" s="363">
        <v>2234.1</v>
      </c>
      <c r="AG32" s="363">
        <v>1271.1999999999998</v>
      </c>
      <c r="AH32" s="363">
        <v>3398.8999999999996</v>
      </c>
      <c r="AI32" s="363">
        <v>547.6</v>
      </c>
      <c r="AJ32" s="363">
        <v>3005.1</v>
      </c>
      <c r="AK32" s="363">
        <v>2989.2</v>
      </c>
      <c r="AL32" s="363">
        <v>10018.500000000004</v>
      </c>
      <c r="AM32" s="363">
        <f t="shared" si="16"/>
        <v>35016.600000000006</v>
      </c>
      <c r="AN32" s="363">
        <f t="shared" si="17"/>
        <v>35681.800000000003</v>
      </c>
      <c r="AO32" s="363">
        <f t="shared" si="18"/>
        <v>-9661.6300000000047</v>
      </c>
      <c r="AP32" s="377" t="s">
        <v>737</v>
      </c>
    </row>
    <row r="33" spans="1:42" s="333" customFormat="1" ht="10.7" customHeight="1">
      <c r="A33" s="212" t="s">
        <v>744</v>
      </c>
      <c r="B33" s="476">
        <v>112</v>
      </c>
      <c r="C33" s="476">
        <v>622</v>
      </c>
      <c r="D33" s="476">
        <v>2</v>
      </c>
      <c r="E33" s="476">
        <v>75</v>
      </c>
      <c r="F33" s="476">
        <f>62+295</f>
        <v>357</v>
      </c>
      <c r="G33" s="476">
        <v>18627</v>
      </c>
      <c r="H33" s="476">
        <v>0</v>
      </c>
      <c r="I33" s="476">
        <v>0</v>
      </c>
      <c r="J33" s="476">
        <v>0</v>
      </c>
      <c r="K33" s="476">
        <f t="shared" si="15"/>
        <v>5802.849934580001</v>
      </c>
      <c r="L33" s="476">
        <f>21765+45.268*84.670185</f>
        <v>25597.849934580001</v>
      </c>
      <c r="M33" s="476">
        <v>13.7</v>
      </c>
      <c r="N33" s="476">
        <v>1717.9648999999999</v>
      </c>
      <c r="O33" s="476">
        <f t="shared" si="3"/>
        <v>1731.6649</v>
      </c>
      <c r="P33" s="296">
        <v>341.70029999999997</v>
      </c>
      <c r="Q33" s="296">
        <v>195.6045</v>
      </c>
      <c r="R33" s="296">
        <v>707.93889999999999</v>
      </c>
      <c r="S33" s="296">
        <v>982.44079999999997</v>
      </c>
      <c r="T33" s="296">
        <v>179.46770000000001</v>
      </c>
      <c r="U33" s="270" t="s">
        <v>744</v>
      </c>
      <c r="V33" s="211" t="s">
        <v>744</v>
      </c>
      <c r="W33" s="296">
        <v>404.09800000000001</v>
      </c>
      <c r="X33" s="296">
        <v>581.72670000000005</v>
      </c>
      <c r="Y33" s="296">
        <v>407.4</v>
      </c>
      <c r="Z33" s="296">
        <v>4838.9958999999999</v>
      </c>
      <c r="AA33" s="296">
        <v>1701.6714999999999</v>
      </c>
      <c r="AB33" s="296">
        <v>139.4025</v>
      </c>
      <c r="AC33" s="296">
        <v>1100.1325000000002</v>
      </c>
      <c r="AD33" s="296">
        <v>512.11919999999998</v>
      </c>
      <c r="AE33" s="296">
        <v>1849.9455</v>
      </c>
      <c r="AF33" s="296">
        <v>1704.9942000000001</v>
      </c>
      <c r="AG33" s="296">
        <v>1288.8682000000001</v>
      </c>
      <c r="AH33" s="296">
        <v>3199.8670000000002</v>
      </c>
      <c r="AI33" s="296">
        <v>550.74749999999995</v>
      </c>
      <c r="AJ33" s="296">
        <v>3570.1766000000002</v>
      </c>
      <c r="AK33" s="296">
        <v>3923.6674000000003</v>
      </c>
      <c r="AL33" s="296">
        <v>12677.6584</v>
      </c>
      <c r="AM33" s="296">
        <f t="shared" si="16"/>
        <v>40858.623299999999</v>
      </c>
      <c r="AN33" s="296">
        <f t="shared" si="17"/>
        <v>42590.288200000003</v>
      </c>
      <c r="AO33" s="296">
        <f t="shared" si="18"/>
        <v>-16992.438265420002</v>
      </c>
      <c r="AP33" s="270" t="s">
        <v>744</v>
      </c>
    </row>
    <row r="34" spans="1:42" s="333" customFormat="1" ht="10.7" customHeight="1">
      <c r="A34" s="385" t="s">
        <v>745</v>
      </c>
      <c r="B34" s="497">
        <v>137</v>
      </c>
      <c r="C34" s="497">
        <v>570</v>
      </c>
      <c r="D34" s="497">
        <v>3</v>
      </c>
      <c r="E34" s="497">
        <v>80</v>
      </c>
      <c r="F34" s="497">
        <f>63+242</f>
        <v>305</v>
      </c>
      <c r="G34" s="497">
        <v>16346</v>
      </c>
      <c r="H34" s="497">
        <v>0</v>
      </c>
      <c r="I34" s="497">
        <v>0</v>
      </c>
      <c r="J34" s="497">
        <v>0</v>
      </c>
      <c r="K34" s="497">
        <f t="shared" si="15"/>
        <v>5835.3524419999994</v>
      </c>
      <c r="L34" s="497">
        <f>19166+48.482*84.781</f>
        <v>23276.352441999999</v>
      </c>
      <c r="M34" s="497">
        <v>20.8476</v>
      </c>
      <c r="N34" s="497">
        <v>907.82039999999995</v>
      </c>
      <c r="O34" s="497">
        <f t="shared" si="3"/>
        <v>928.66799999999989</v>
      </c>
      <c r="P34" s="363">
        <v>268.36270000000002</v>
      </c>
      <c r="Q34" s="363">
        <v>192.60040000000001</v>
      </c>
      <c r="R34" s="363">
        <v>431.43240000000003</v>
      </c>
      <c r="S34" s="363">
        <v>842.09019999999998</v>
      </c>
      <c r="T34" s="363">
        <v>305.512</v>
      </c>
      <c r="U34" s="377" t="s">
        <v>745</v>
      </c>
      <c r="V34" s="376" t="s">
        <v>745</v>
      </c>
      <c r="W34" s="363">
        <v>795.39690000000007</v>
      </c>
      <c r="X34" s="363">
        <v>374.63720000000001</v>
      </c>
      <c r="Y34" s="363">
        <v>388.1</v>
      </c>
      <c r="Z34" s="363">
        <v>3467.9028000000003</v>
      </c>
      <c r="AA34" s="363">
        <v>1588.0738999999999</v>
      </c>
      <c r="AB34" s="363">
        <v>96.826300000000003</v>
      </c>
      <c r="AC34" s="363">
        <v>881.62519999999995</v>
      </c>
      <c r="AD34" s="363">
        <v>435.7364</v>
      </c>
      <c r="AE34" s="363">
        <v>1640.6179999999999</v>
      </c>
      <c r="AF34" s="363">
        <v>1404.6559999999999</v>
      </c>
      <c r="AG34" s="363">
        <v>1085.2395000000001</v>
      </c>
      <c r="AH34" s="363">
        <v>2926.3954999999996</v>
      </c>
      <c r="AI34" s="363">
        <v>419.55200000000002</v>
      </c>
      <c r="AJ34" s="363">
        <v>3006.5102999999999</v>
      </c>
      <c r="AK34" s="363">
        <v>2152.6064999999999</v>
      </c>
      <c r="AL34" s="363">
        <v>10165.311099999999</v>
      </c>
      <c r="AM34" s="363">
        <f t="shared" si="16"/>
        <v>32869.185299999997</v>
      </c>
      <c r="AN34" s="363">
        <f t="shared" si="17"/>
        <v>33797.853299999995</v>
      </c>
      <c r="AO34" s="363">
        <f t="shared" si="18"/>
        <v>-10521.500857999996</v>
      </c>
      <c r="AP34" s="377" t="s">
        <v>745</v>
      </c>
    </row>
    <row r="35" spans="1:42" s="333" customFormat="1" ht="10.7" customHeight="1">
      <c r="A35" s="212" t="s">
        <v>738</v>
      </c>
      <c r="B35" s="296">
        <v>130</v>
      </c>
      <c r="C35" s="476">
        <v>624</v>
      </c>
      <c r="D35" s="476">
        <v>1</v>
      </c>
      <c r="E35" s="476">
        <v>96</v>
      </c>
      <c r="F35" s="476">
        <f>112+301</f>
        <v>413</v>
      </c>
      <c r="G35" s="476">
        <v>17080</v>
      </c>
      <c r="H35" s="476">
        <v>0</v>
      </c>
      <c r="I35" s="476">
        <v>0</v>
      </c>
      <c r="J35" s="476">
        <v>0</v>
      </c>
      <c r="K35" s="476">
        <f t="shared" si="15"/>
        <v>6729.7634479999979</v>
      </c>
      <c r="L35" s="476">
        <f>20322+55.97*84.8984</f>
        <v>25073.763447999998</v>
      </c>
      <c r="M35" s="476">
        <v>29.106300000000001</v>
      </c>
      <c r="N35" s="476">
        <v>1511.5315000000001</v>
      </c>
      <c r="O35" s="476">
        <f t="shared" si="3"/>
        <v>1540.6378</v>
      </c>
      <c r="P35" s="296">
        <v>236.08330000000001</v>
      </c>
      <c r="Q35" s="296">
        <v>189.44720000000001</v>
      </c>
      <c r="R35" s="296">
        <v>545.41779999999994</v>
      </c>
      <c r="S35" s="296">
        <v>1135.6775</v>
      </c>
      <c r="T35" s="296">
        <v>375.83769999999998</v>
      </c>
      <c r="U35" s="270" t="s">
        <v>738</v>
      </c>
      <c r="V35" s="211" t="s">
        <v>738</v>
      </c>
      <c r="W35" s="296">
        <v>388.77080000000001</v>
      </c>
      <c r="X35" s="296">
        <v>512.39099999999996</v>
      </c>
      <c r="Y35" s="296">
        <v>0</v>
      </c>
      <c r="Z35" s="296">
        <v>2626.9901999999997</v>
      </c>
      <c r="AA35" s="296">
        <v>1813.2124000000001</v>
      </c>
      <c r="AB35" s="296">
        <v>129.84789999999998</v>
      </c>
      <c r="AC35" s="296">
        <v>1483.1792</v>
      </c>
      <c r="AD35" s="296">
        <v>494.2088</v>
      </c>
      <c r="AE35" s="296">
        <v>1687.0641000000001</v>
      </c>
      <c r="AF35" s="296">
        <v>2086.1819999999998</v>
      </c>
      <c r="AG35" s="296">
        <v>1283.9189000000001</v>
      </c>
      <c r="AH35" s="296">
        <v>3545.1907000000001</v>
      </c>
      <c r="AI35" s="296">
        <v>587.56190000000004</v>
      </c>
      <c r="AJ35" s="296">
        <v>3086.4665</v>
      </c>
      <c r="AK35" s="296">
        <v>3125.9609</v>
      </c>
      <c r="AL35" s="296">
        <v>12578.2</v>
      </c>
      <c r="AM35" s="296">
        <f t="shared" si="16"/>
        <v>37911.608800000002</v>
      </c>
      <c r="AN35" s="296">
        <f t="shared" si="17"/>
        <v>39452.246599999999</v>
      </c>
      <c r="AO35" s="296">
        <f t="shared" si="18"/>
        <v>-14378.483152000001</v>
      </c>
      <c r="AP35" s="270" t="s">
        <v>738</v>
      </c>
    </row>
    <row r="36" spans="1:42" s="333" customFormat="1" ht="10.7" customHeight="1">
      <c r="A36" s="385" t="s">
        <v>746</v>
      </c>
      <c r="B36" s="363">
        <v>125</v>
      </c>
      <c r="C36" s="497">
        <v>611</v>
      </c>
      <c r="D36" s="497">
        <v>2</v>
      </c>
      <c r="E36" s="497">
        <v>70</v>
      </c>
      <c r="F36" s="497">
        <f>84+301</f>
        <v>385</v>
      </c>
      <c r="G36" s="497">
        <v>18704</v>
      </c>
      <c r="H36" s="497">
        <v>0</v>
      </c>
      <c r="I36" s="497">
        <v>0</v>
      </c>
      <c r="J36" s="497">
        <v>0</v>
      </c>
      <c r="K36" s="497">
        <f t="shared" si="15"/>
        <v>6541.0443999999989</v>
      </c>
      <c r="L36" s="497">
        <f>22010+52.156*84.9</f>
        <v>26438.044399999999</v>
      </c>
      <c r="M36" s="497">
        <v>6.6</v>
      </c>
      <c r="N36" s="497">
        <v>1269.9814000000001</v>
      </c>
      <c r="O36" s="497">
        <f t="shared" si="3"/>
        <v>1276.5814</v>
      </c>
      <c r="P36" s="363">
        <v>278.2217</v>
      </c>
      <c r="Q36" s="363">
        <v>245.03029999999998</v>
      </c>
      <c r="R36" s="363">
        <v>1492.6089999999999</v>
      </c>
      <c r="S36" s="363">
        <v>1109.3696</v>
      </c>
      <c r="T36" s="363">
        <v>348.7115</v>
      </c>
      <c r="U36" s="377" t="s">
        <v>746</v>
      </c>
      <c r="V36" s="376" t="s">
        <v>746</v>
      </c>
      <c r="W36" s="363">
        <v>293.83109999999999</v>
      </c>
      <c r="X36" s="363">
        <v>540.30129999999997</v>
      </c>
      <c r="Y36" s="363">
        <v>0</v>
      </c>
      <c r="Z36" s="363">
        <v>2658.4202999999998</v>
      </c>
      <c r="AA36" s="363">
        <v>1627.1156000000001</v>
      </c>
      <c r="AB36" s="363">
        <v>109.919</v>
      </c>
      <c r="AC36" s="363">
        <v>1335.6433</v>
      </c>
      <c r="AD36" s="363">
        <v>567.79660000000001</v>
      </c>
      <c r="AE36" s="363">
        <v>1828.6329000000001</v>
      </c>
      <c r="AF36" s="363">
        <v>2445.7340999999997</v>
      </c>
      <c r="AG36" s="363">
        <v>1325.0041000000001</v>
      </c>
      <c r="AH36" s="363">
        <v>3977.8616999999999</v>
      </c>
      <c r="AI36" s="363">
        <v>607.86630000000002</v>
      </c>
      <c r="AJ36" s="363">
        <v>2619.9103</v>
      </c>
      <c r="AK36" s="363">
        <v>2787.5757000000003</v>
      </c>
      <c r="AL36" s="363">
        <v>12528.581400000003</v>
      </c>
      <c r="AM36" s="363">
        <f t="shared" si="16"/>
        <v>38728.135800000004</v>
      </c>
      <c r="AN36" s="363">
        <f t="shared" si="17"/>
        <v>40004.717200000006</v>
      </c>
      <c r="AO36" s="363">
        <f t="shared" si="18"/>
        <v>-13566.672800000008</v>
      </c>
      <c r="AP36" s="377" t="s">
        <v>746</v>
      </c>
    </row>
    <row r="37" spans="1:42" s="333" customFormat="1" ht="10.7" customHeight="1">
      <c r="A37" s="212" t="s">
        <v>747</v>
      </c>
      <c r="B37" s="296">
        <v>115</v>
      </c>
      <c r="C37" s="476">
        <v>597</v>
      </c>
      <c r="D37" s="476">
        <v>3</v>
      </c>
      <c r="E37" s="476">
        <v>58</v>
      </c>
      <c r="F37" s="476">
        <v>319</v>
      </c>
      <c r="G37" s="476">
        <v>18855</v>
      </c>
      <c r="H37" s="476">
        <v>0</v>
      </c>
      <c r="I37" s="476">
        <v>0</v>
      </c>
      <c r="J37" s="476">
        <v>0</v>
      </c>
      <c r="K37" s="476">
        <f t="shared" si="15"/>
        <v>6253.2304499999991</v>
      </c>
      <c r="L37" s="476">
        <f>21945+50.091*84.95</f>
        <v>26200.230449999999</v>
      </c>
      <c r="M37" s="476">
        <v>7</v>
      </c>
      <c r="N37" s="476">
        <v>1820</v>
      </c>
      <c r="O37" s="476">
        <f t="shared" si="3"/>
        <v>1827</v>
      </c>
      <c r="P37" s="296">
        <v>260</v>
      </c>
      <c r="Q37" s="296">
        <v>266</v>
      </c>
      <c r="R37" s="296">
        <v>737</v>
      </c>
      <c r="S37" s="296">
        <v>1349</v>
      </c>
      <c r="T37" s="296">
        <v>336</v>
      </c>
      <c r="U37" s="270" t="s">
        <v>747</v>
      </c>
      <c r="V37" s="211" t="s">
        <v>747</v>
      </c>
      <c r="W37" s="296">
        <v>623</v>
      </c>
      <c r="X37" s="296">
        <v>536</v>
      </c>
      <c r="Y37" s="296">
        <v>427</v>
      </c>
      <c r="Z37" s="296">
        <v>5756</v>
      </c>
      <c r="AA37" s="296">
        <v>1291</v>
      </c>
      <c r="AB37" s="296">
        <v>72</v>
      </c>
      <c r="AC37" s="296">
        <v>649</v>
      </c>
      <c r="AD37" s="296">
        <v>441</v>
      </c>
      <c r="AE37" s="296">
        <v>1511</v>
      </c>
      <c r="AF37" s="296">
        <v>2544</v>
      </c>
      <c r="AG37" s="296">
        <v>1226</v>
      </c>
      <c r="AH37" s="296">
        <v>3128</v>
      </c>
      <c r="AI37" s="296">
        <v>514</v>
      </c>
      <c r="AJ37" s="296">
        <v>2320</v>
      </c>
      <c r="AK37" s="296">
        <v>2463</v>
      </c>
      <c r="AL37" s="296">
        <v>9261</v>
      </c>
      <c r="AM37" s="296">
        <f t="shared" si="16"/>
        <v>35710</v>
      </c>
      <c r="AN37" s="296">
        <f t="shared" si="17"/>
        <v>37537</v>
      </c>
      <c r="AO37" s="296">
        <f t="shared" si="18"/>
        <v>-11336.769550000001</v>
      </c>
      <c r="AP37" s="270" t="s">
        <v>747</v>
      </c>
    </row>
    <row r="38" spans="1:42" s="333" customFormat="1" ht="10.7" customHeight="1">
      <c r="A38" s="385" t="s">
        <v>491</v>
      </c>
      <c r="B38" s="363">
        <v>94</v>
      </c>
      <c r="C38" s="497">
        <v>521</v>
      </c>
      <c r="D38" s="497">
        <v>2</v>
      </c>
      <c r="E38" s="497">
        <v>47</v>
      </c>
      <c r="F38" s="497">
        <f>54+228</f>
        <v>282</v>
      </c>
      <c r="G38" s="497">
        <v>15994</v>
      </c>
      <c r="H38" s="497">
        <v>0</v>
      </c>
      <c r="I38" s="497">
        <v>0</v>
      </c>
      <c r="J38" s="497">
        <v>0</v>
      </c>
      <c r="K38" s="497">
        <f t="shared" si="15"/>
        <v>5371.6376999999993</v>
      </c>
      <c r="L38" s="497">
        <f>18451+45.446*84.95</f>
        <v>22311.637699999999</v>
      </c>
      <c r="M38" s="497">
        <v>13</v>
      </c>
      <c r="N38" s="497">
        <v>1175</v>
      </c>
      <c r="O38" s="497">
        <f t="shared" si="3"/>
        <v>1188</v>
      </c>
      <c r="P38" s="363">
        <v>314</v>
      </c>
      <c r="Q38" s="363">
        <v>301</v>
      </c>
      <c r="R38" s="363">
        <v>842</v>
      </c>
      <c r="S38" s="363">
        <v>991</v>
      </c>
      <c r="T38" s="363">
        <v>643</v>
      </c>
      <c r="U38" s="377" t="s">
        <v>491</v>
      </c>
      <c r="V38" s="376" t="s">
        <v>739</v>
      </c>
      <c r="W38" s="363">
        <v>797</v>
      </c>
      <c r="X38" s="363">
        <v>617</v>
      </c>
      <c r="Y38" s="363">
        <v>35</v>
      </c>
      <c r="Z38" s="363">
        <v>5118</v>
      </c>
      <c r="AA38" s="363">
        <v>1420</v>
      </c>
      <c r="AB38" s="363">
        <v>99</v>
      </c>
      <c r="AC38" s="363">
        <v>313</v>
      </c>
      <c r="AD38" s="363">
        <v>383</v>
      </c>
      <c r="AE38" s="363">
        <v>1713</v>
      </c>
      <c r="AF38" s="363">
        <v>1927</v>
      </c>
      <c r="AG38" s="363">
        <v>1175</v>
      </c>
      <c r="AH38" s="363">
        <v>2821</v>
      </c>
      <c r="AI38" s="363">
        <v>496</v>
      </c>
      <c r="AJ38" s="363">
        <v>2467</v>
      </c>
      <c r="AK38" s="363">
        <v>2530</v>
      </c>
      <c r="AL38" s="363">
        <v>8820</v>
      </c>
      <c r="AM38" s="363">
        <f t="shared" si="16"/>
        <v>33822</v>
      </c>
      <c r="AN38" s="363">
        <f t="shared" si="17"/>
        <v>35010</v>
      </c>
      <c r="AO38" s="363">
        <f t="shared" si="18"/>
        <v>-12698.362300000001</v>
      </c>
      <c r="AP38" s="377" t="s">
        <v>739</v>
      </c>
    </row>
    <row r="39" spans="1:42" s="333" customFormat="1" ht="10.7" customHeight="1">
      <c r="A39" s="212" t="s">
        <v>748</v>
      </c>
      <c r="B39" s="296">
        <v>31</v>
      </c>
      <c r="C39" s="476">
        <v>278</v>
      </c>
      <c r="D39" s="476">
        <v>3</v>
      </c>
      <c r="E39" s="476">
        <v>31</v>
      </c>
      <c r="F39" s="476">
        <v>132</v>
      </c>
      <c r="G39" s="476">
        <v>8037</v>
      </c>
      <c r="H39" s="476">
        <v>0</v>
      </c>
      <c r="I39" s="476">
        <v>0</v>
      </c>
      <c r="J39" s="476">
        <v>0</v>
      </c>
      <c r="K39" s="476">
        <f t="shared" si="15"/>
        <v>1467.7934000000005</v>
      </c>
      <c r="L39" s="476">
        <f>9255+8.532*84.95</f>
        <v>9979.7934000000005</v>
      </c>
      <c r="M39" s="476">
        <v>1.2</v>
      </c>
      <c r="N39" s="476">
        <v>451.4</v>
      </c>
      <c r="O39" s="476">
        <f t="shared" si="3"/>
        <v>452.59999999999997</v>
      </c>
      <c r="P39" s="296">
        <v>214.39999999999998</v>
      </c>
      <c r="Q39" s="296">
        <v>118.39999999999999</v>
      </c>
      <c r="R39" s="296">
        <v>511.5</v>
      </c>
      <c r="S39" s="296">
        <v>1606.2</v>
      </c>
      <c r="T39" s="296">
        <v>414.1</v>
      </c>
      <c r="U39" s="270" t="s">
        <v>748</v>
      </c>
      <c r="V39" s="211" t="s">
        <v>748</v>
      </c>
      <c r="W39" s="296">
        <v>372.5</v>
      </c>
      <c r="X39" s="296">
        <v>385.3</v>
      </c>
      <c r="Y39" s="296">
        <v>0</v>
      </c>
      <c r="Z39" s="296">
        <v>3075.9</v>
      </c>
      <c r="AA39" s="296">
        <v>955.59999999999991</v>
      </c>
      <c r="AB39" s="296">
        <v>59.199999999999996</v>
      </c>
      <c r="AC39" s="296">
        <v>386.5</v>
      </c>
      <c r="AD39" s="296">
        <v>206.2</v>
      </c>
      <c r="AE39" s="296">
        <v>980.5</v>
      </c>
      <c r="AF39" s="296">
        <v>950.5</v>
      </c>
      <c r="AG39" s="296">
        <v>537.4</v>
      </c>
      <c r="AH39" s="296">
        <v>1393.4</v>
      </c>
      <c r="AI39" s="296">
        <v>325.3</v>
      </c>
      <c r="AJ39" s="296">
        <v>1429.8</v>
      </c>
      <c r="AK39" s="296">
        <v>1589.73</v>
      </c>
      <c r="AL39" s="296">
        <v>5172.5</v>
      </c>
      <c r="AM39" s="296">
        <f t="shared" si="16"/>
        <v>20684.929999999993</v>
      </c>
      <c r="AN39" s="296">
        <f t="shared" si="17"/>
        <v>21137.529999999992</v>
      </c>
      <c r="AO39" s="296">
        <f t="shared" si="18"/>
        <v>-11157.736599999991</v>
      </c>
      <c r="AP39" s="270" t="s">
        <v>748</v>
      </c>
    </row>
    <row r="40" spans="1:42" s="333" customFormat="1" ht="10.7" customHeight="1">
      <c r="A40" s="385" t="s">
        <v>749</v>
      </c>
      <c r="B40" s="363">
        <v>40</v>
      </c>
      <c r="C40" s="363">
        <v>357</v>
      </c>
      <c r="D40" s="363">
        <v>2</v>
      </c>
      <c r="E40" s="363">
        <v>29</v>
      </c>
      <c r="F40" s="363">
        <f>39+96</f>
        <v>135</v>
      </c>
      <c r="G40" s="363">
        <v>8726</v>
      </c>
      <c r="H40" s="363">
        <v>0</v>
      </c>
      <c r="I40" s="363">
        <v>0</v>
      </c>
      <c r="J40" s="363">
        <v>0</v>
      </c>
      <c r="K40" s="363">
        <f>L40-SUM(B40:J40)</f>
        <v>1098.76685</v>
      </c>
      <c r="L40" s="363">
        <f>10238+1.763*84.95</f>
        <v>10387.76685</v>
      </c>
      <c r="M40" s="363">
        <v>2</v>
      </c>
      <c r="N40" s="363">
        <v>643</v>
      </c>
      <c r="O40" s="363">
        <f t="shared" si="3"/>
        <v>645</v>
      </c>
      <c r="P40" s="363">
        <v>190</v>
      </c>
      <c r="Q40" s="363">
        <v>164</v>
      </c>
      <c r="R40" s="363">
        <v>563</v>
      </c>
      <c r="S40" s="363">
        <v>866</v>
      </c>
      <c r="T40" s="363">
        <v>501</v>
      </c>
      <c r="U40" s="377" t="s">
        <v>749</v>
      </c>
      <c r="V40" s="376" t="s">
        <v>749</v>
      </c>
      <c r="W40" s="363">
        <v>192</v>
      </c>
      <c r="X40" s="363">
        <v>285</v>
      </c>
      <c r="Y40" s="363">
        <v>0</v>
      </c>
      <c r="Z40" s="363">
        <v>1244</v>
      </c>
      <c r="AA40" s="363">
        <v>1175</v>
      </c>
      <c r="AB40" s="363">
        <v>65</v>
      </c>
      <c r="AC40" s="363">
        <v>2</v>
      </c>
      <c r="AD40" s="363">
        <v>283</v>
      </c>
      <c r="AE40" s="363">
        <v>1226</v>
      </c>
      <c r="AF40" s="363">
        <v>1421</v>
      </c>
      <c r="AG40" s="363">
        <v>912</v>
      </c>
      <c r="AH40" s="363">
        <v>2103</v>
      </c>
      <c r="AI40" s="363">
        <v>443</v>
      </c>
      <c r="AJ40" s="363">
        <v>3291</v>
      </c>
      <c r="AK40" s="363">
        <v>1222</v>
      </c>
      <c r="AL40" s="363">
        <v>4718</v>
      </c>
      <c r="AM40" s="363">
        <f t="shared" si="16"/>
        <v>20866</v>
      </c>
      <c r="AN40" s="363">
        <f t="shared" si="17"/>
        <v>21511</v>
      </c>
      <c r="AO40" s="363">
        <f t="shared" si="18"/>
        <v>-11123.23315</v>
      </c>
      <c r="AP40" s="377" t="s">
        <v>749</v>
      </c>
    </row>
    <row r="41" spans="1:42" s="333" customFormat="1" ht="10.7" customHeight="1">
      <c r="A41" s="212" t="s">
        <v>740</v>
      </c>
      <c r="B41" s="296">
        <v>60</v>
      </c>
      <c r="C41" s="296">
        <v>505</v>
      </c>
      <c r="D41" s="296">
        <v>1</v>
      </c>
      <c r="E41" s="296">
        <v>55</v>
      </c>
      <c r="F41" s="296">
        <f>100+164</f>
        <v>264</v>
      </c>
      <c r="G41" s="296">
        <v>13104</v>
      </c>
      <c r="H41" s="296">
        <v>0</v>
      </c>
      <c r="I41" s="296">
        <v>0</v>
      </c>
      <c r="J41" s="296">
        <v>0</v>
      </c>
      <c r="K41" s="296">
        <f>L41-SUM(B41:J41)</f>
        <v>5758.7304999999978</v>
      </c>
      <c r="L41" s="296">
        <f>16016.8+43.945*84.9</f>
        <v>19747.730499999998</v>
      </c>
      <c r="M41" s="296">
        <v>5.0999999999999996</v>
      </c>
      <c r="N41" s="296">
        <v>1005.5</v>
      </c>
      <c r="O41" s="296">
        <f t="shared" si="3"/>
        <v>1010.6</v>
      </c>
      <c r="P41" s="296">
        <v>215.6</v>
      </c>
      <c r="Q41" s="296">
        <v>346.2</v>
      </c>
      <c r="R41" s="296">
        <v>1023.3000000000001</v>
      </c>
      <c r="S41" s="296">
        <v>1320.8</v>
      </c>
      <c r="T41" s="296">
        <v>968.1</v>
      </c>
      <c r="U41" s="270" t="s">
        <v>740</v>
      </c>
      <c r="V41" s="211" t="s">
        <v>740</v>
      </c>
      <c r="W41" s="296">
        <v>536.90000000000009</v>
      </c>
      <c r="X41" s="296">
        <v>352.4</v>
      </c>
      <c r="Y41" s="296">
        <v>263.39999999999998</v>
      </c>
      <c r="Z41" s="296">
        <v>1464.7</v>
      </c>
      <c r="AA41" s="296">
        <v>2132.1</v>
      </c>
      <c r="AB41" s="296">
        <v>156.99999999999997</v>
      </c>
      <c r="AC41" s="296">
        <v>471.6</v>
      </c>
      <c r="AD41" s="296">
        <v>436.20000000000005</v>
      </c>
      <c r="AE41" s="296">
        <v>1888.8999999999999</v>
      </c>
      <c r="AF41" s="296">
        <v>1629.8</v>
      </c>
      <c r="AG41" s="296">
        <v>1408.3999999999999</v>
      </c>
      <c r="AH41" s="296">
        <v>3130.8</v>
      </c>
      <c r="AI41" s="296">
        <v>506.1</v>
      </c>
      <c r="AJ41" s="296">
        <v>2774.2</v>
      </c>
      <c r="AK41" s="296">
        <v>2250.14</v>
      </c>
      <c r="AL41" s="296">
        <v>9179.3000000000011</v>
      </c>
      <c r="AM41" s="296">
        <f t="shared" si="16"/>
        <v>32455.940000000002</v>
      </c>
      <c r="AN41" s="296">
        <f t="shared" si="17"/>
        <v>33466.54</v>
      </c>
      <c r="AO41" s="296">
        <f t="shared" si="18"/>
        <v>-13718.809500000003</v>
      </c>
      <c r="AP41" s="270" t="s">
        <v>740</v>
      </c>
    </row>
    <row r="42" spans="1:42" s="333" customFormat="1" ht="10.7" customHeight="1">
      <c r="A42" s="386" t="s">
        <v>2140</v>
      </c>
      <c r="B42" s="363"/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79" t="s">
        <v>2140</v>
      </c>
      <c r="V42" s="378" t="s">
        <v>2140</v>
      </c>
      <c r="W42" s="363"/>
      <c r="X42" s="363"/>
      <c r="Y42" s="363"/>
      <c r="Z42" s="363"/>
      <c r="AA42" s="363"/>
      <c r="AB42" s="363"/>
      <c r="AC42" s="363"/>
      <c r="AD42" s="363"/>
      <c r="AE42" s="363"/>
      <c r="AF42" s="363"/>
      <c r="AG42" s="363"/>
      <c r="AH42" s="363"/>
      <c r="AI42" s="363"/>
      <c r="AJ42" s="363"/>
      <c r="AK42" s="363"/>
      <c r="AL42" s="363"/>
      <c r="AM42" s="363"/>
      <c r="AN42" s="363"/>
      <c r="AO42" s="363"/>
      <c r="AP42" s="379" t="s">
        <v>2140</v>
      </c>
    </row>
    <row r="43" spans="1:42" s="333" customFormat="1" ht="10.7" customHeight="1">
      <c r="A43" s="212" t="s">
        <v>742</v>
      </c>
      <c r="B43" s="296">
        <v>54</v>
      </c>
      <c r="C43" s="296">
        <v>556</v>
      </c>
      <c r="D43" s="296">
        <v>4</v>
      </c>
      <c r="E43" s="296">
        <v>48</v>
      </c>
      <c r="F43" s="296">
        <f>85+187</f>
        <v>272</v>
      </c>
      <c r="G43" s="296">
        <v>15589</v>
      </c>
      <c r="H43" s="296">
        <v>0</v>
      </c>
      <c r="I43" s="296">
        <v>0</v>
      </c>
      <c r="J43" s="296">
        <v>0</v>
      </c>
      <c r="K43" s="296">
        <f t="shared" ref="K43:K53" si="19">L43-SUM(B43:J43)</f>
        <v>6607.9182999999975</v>
      </c>
      <c r="L43" s="296">
        <f>18640.3343+52.955*84.8</f>
        <v>23130.918299999998</v>
      </c>
      <c r="M43" s="296">
        <v>23.1</v>
      </c>
      <c r="N43" s="296">
        <v>502.4</v>
      </c>
      <c r="O43" s="296">
        <f t="shared" si="3"/>
        <v>525.5</v>
      </c>
      <c r="P43" s="296">
        <v>117.7</v>
      </c>
      <c r="Q43" s="296">
        <v>514.4</v>
      </c>
      <c r="R43" s="296">
        <v>831.5</v>
      </c>
      <c r="S43" s="296">
        <v>1000.7</v>
      </c>
      <c r="T43" s="296">
        <v>438.59999999999997</v>
      </c>
      <c r="U43" s="270" t="s">
        <v>742</v>
      </c>
      <c r="V43" s="211" t="s">
        <v>742</v>
      </c>
      <c r="W43" s="296">
        <v>210.5</v>
      </c>
      <c r="X43" s="296">
        <v>335.5</v>
      </c>
      <c r="Y43" s="296">
        <v>188.6</v>
      </c>
      <c r="Z43" s="296">
        <v>1971.1</v>
      </c>
      <c r="AA43" s="296">
        <v>2020.9</v>
      </c>
      <c r="AB43" s="296">
        <v>132.1</v>
      </c>
      <c r="AC43" s="296">
        <v>299.20000000000005</v>
      </c>
      <c r="AD43" s="296">
        <v>479.09999999999997</v>
      </c>
      <c r="AE43" s="296">
        <v>1446.3999999999999</v>
      </c>
      <c r="AF43" s="296">
        <v>1606.6999999999998</v>
      </c>
      <c r="AG43" s="296">
        <v>1657.2</v>
      </c>
      <c r="AH43" s="296">
        <v>2857</v>
      </c>
      <c r="AI43" s="296">
        <v>549.4</v>
      </c>
      <c r="AJ43" s="296">
        <v>2029</v>
      </c>
      <c r="AK43" s="296">
        <v>1727.9900000000002</v>
      </c>
      <c r="AL43" s="296">
        <v>7863.0000000000009</v>
      </c>
      <c r="AM43" s="296">
        <f t="shared" ref="AM43:AM53" si="20">SUM(P43:T43)+SUM(W43:AL43)</f>
        <v>28276.590000000004</v>
      </c>
      <c r="AN43" s="296">
        <f t="shared" ref="AN43:AN53" si="21">O43+AM43</f>
        <v>28802.090000000004</v>
      </c>
      <c r="AO43" s="296">
        <f t="shared" ref="AO43:AO53" si="22">L43-AN43</f>
        <v>-5671.1717000000062</v>
      </c>
      <c r="AP43" s="270" t="s">
        <v>742</v>
      </c>
    </row>
    <row r="44" spans="1:42" s="333" customFormat="1" ht="10.7" customHeight="1">
      <c r="A44" s="385" t="s">
        <v>132</v>
      </c>
      <c r="B44" s="363">
        <v>90</v>
      </c>
      <c r="C44" s="363">
        <v>619</v>
      </c>
      <c r="D44" s="363">
        <v>3</v>
      </c>
      <c r="E44" s="363">
        <v>49</v>
      </c>
      <c r="F44" s="363">
        <f>45+242</f>
        <v>287</v>
      </c>
      <c r="G44" s="363">
        <v>15511</v>
      </c>
      <c r="H44" s="363">
        <v>0</v>
      </c>
      <c r="I44" s="363">
        <v>0</v>
      </c>
      <c r="J44" s="363">
        <v>0</v>
      </c>
      <c r="K44" s="363">
        <f t="shared" si="19"/>
        <v>5207.1531747999979</v>
      </c>
      <c r="L44" s="363">
        <f>18681+36.369*84.8292</f>
        <v>21766.153174799998</v>
      </c>
      <c r="M44" s="363">
        <v>1.1000000000000001</v>
      </c>
      <c r="N44" s="363">
        <v>595</v>
      </c>
      <c r="O44" s="363">
        <f t="shared" si="3"/>
        <v>596.1</v>
      </c>
      <c r="P44" s="363">
        <v>195.5</v>
      </c>
      <c r="Q44" s="363">
        <v>337.4</v>
      </c>
      <c r="R44" s="363">
        <v>802.2</v>
      </c>
      <c r="S44" s="363">
        <v>541.5</v>
      </c>
      <c r="T44" s="363">
        <v>274.2</v>
      </c>
      <c r="U44" s="377" t="s">
        <v>132</v>
      </c>
      <c r="V44" s="376" t="s">
        <v>132</v>
      </c>
      <c r="W44" s="363">
        <v>645.20000000000005</v>
      </c>
      <c r="X44" s="363">
        <v>385</v>
      </c>
      <c r="Y44" s="363">
        <v>270.8</v>
      </c>
      <c r="Z44" s="363">
        <v>4126</v>
      </c>
      <c r="AA44" s="363">
        <v>1868.9</v>
      </c>
      <c r="AB44" s="363">
        <v>93</v>
      </c>
      <c r="AC44" s="363">
        <v>547</v>
      </c>
      <c r="AD44" s="363">
        <v>416.9</v>
      </c>
      <c r="AE44" s="363">
        <v>1556.8</v>
      </c>
      <c r="AF44" s="363">
        <v>1567.8999999999999</v>
      </c>
      <c r="AG44" s="363">
        <v>1345.8</v>
      </c>
      <c r="AH44" s="363">
        <v>2418.4</v>
      </c>
      <c r="AI44" s="363">
        <v>366</v>
      </c>
      <c r="AJ44" s="363">
        <v>2204.6</v>
      </c>
      <c r="AK44" s="363">
        <v>2068.09</v>
      </c>
      <c r="AL44" s="363">
        <v>8038.2</v>
      </c>
      <c r="AM44" s="1380">
        <f t="shared" si="20"/>
        <v>30069.389999999996</v>
      </c>
      <c r="AN44" s="363">
        <f t="shared" si="21"/>
        <v>30665.489999999994</v>
      </c>
      <c r="AO44" s="363">
        <f t="shared" si="22"/>
        <v>-8899.3368251999964</v>
      </c>
      <c r="AP44" s="377" t="s">
        <v>132</v>
      </c>
    </row>
    <row r="45" spans="1:42" s="333" customFormat="1" ht="10.7" customHeight="1">
      <c r="A45" s="212" t="s">
        <v>737</v>
      </c>
      <c r="B45" s="296">
        <v>146</v>
      </c>
      <c r="C45" s="296">
        <v>693</v>
      </c>
      <c r="D45" s="296">
        <v>2</v>
      </c>
      <c r="E45" s="296">
        <v>37</v>
      </c>
      <c r="F45" s="296">
        <v>319</v>
      </c>
      <c r="G45" s="296">
        <v>19258</v>
      </c>
      <c r="H45" s="296">
        <v>0</v>
      </c>
      <c r="I45" s="296">
        <v>0</v>
      </c>
      <c r="J45" s="296">
        <v>0</v>
      </c>
      <c r="K45" s="296">
        <f t="shared" si="19"/>
        <v>5567.5191640000012</v>
      </c>
      <c r="L45" s="296">
        <f>22714+38.999*84.836</f>
        <v>26022.519164000001</v>
      </c>
      <c r="M45" s="296">
        <v>15.1</v>
      </c>
      <c r="N45" s="296">
        <v>1951.3000000000002</v>
      </c>
      <c r="O45" s="296">
        <f t="shared" si="3"/>
        <v>1966.4</v>
      </c>
      <c r="P45" s="296">
        <v>150.4</v>
      </c>
      <c r="Q45" s="296">
        <v>317.89999999999998</v>
      </c>
      <c r="R45" s="296">
        <v>539.20000000000005</v>
      </c>
      <c r="S45" s="296">
        <v>783</v>
      </c>
      <c r="T45" s="296">
        <v>292.20000000000005</v>
      </c>
      <c r="U45" s="270" t="s">
        <v>737</v>
      </c>
      <c r="V45" s="211" t="s">
        <v>737</v>
      </c>
      <c r="W45" s="296">
        <v>685.3</v>
      </c>
      <c r="X45" s="296">
        <v>515.5</v>
      </c>
      <c r="Y45" s="296">
        <v>258.39999999999998</v>
      </c>
      <c r="Z45" s="296">
        <v>2778.3</v>
      </c>
      <c r="AA45" s="296">
        <v>1936</v>
      </c>
      <c r="AB45" s="296">
        <v>147.30000000000001</v>
      </c>
      <c r="AC45" s="296">
        <v>478.9</v>
      </c>
      <c r="AD45" s="296">
        <v>474.6</v>
      </c>
      <c r="AE45" s="296">
        <v>1805.3</v>
      </c>
      <c r="AF45" s="296">
        <v>1961.8999999999999</v>
      </c>
      <c r="AG45" s="296">
        <v>1386.3</v>
      </c>
      <c r="AH45" s="296">
        <v>2874.4</v>
      </c>
      <c r="AI45" s="296">
        <v>403.2</v>
      </c>
      <c r="AJ45" s="296">
        <v>2682.1</v>
      </c>
      <c r="AK45" s="296">
        <v>1578.79</v>
      </c>
      <c r="AL45" s="296">
        <v>9840.5999999999985</v>
      </c>
      <c r="AM45" s="296">
        <f t="shared" si="20"/>
        <v>31889.59</v>
      </c>
      <c r="AN45" s="296">
        <f t="shared" si="21"/>
        <v>33855.99</v>
      </c>
      <c r="AO45" s="296">
        <f t="shared" si="22"/>
        <v>-7833.4708359999968</v>
      </c>
      <c r="AP45" s="270" t="s">
        <v>737</v>
      </c>
    </row>
    <row r="46" spans="1:42" s="333" customFormat="1" ht="10.7" customHeight="1">
      <c r="A46" s="385" t="s">
        <v>744</v>
      </c>
      <c r="B46" s="363">
        <v>104</v>
      </c>
      <c r="C46" s="363">
        <v>724</v>
      </c>
      <c r="D46" s="363">
        <v>3</v>
      </c>
      <c r="E46" s="363">
        <v>59</v>
      </c>
      <c r="F46" s="363">
        <f>113+277</f>
        <v>390</v>
      </c>
      <c r="G46" s="363">
        <v>17547</v>
      </c>
      <c r="H46" s="363">
        <v>0</v>
      </c>
      <c r="I46" s="363">
        <v>0</v>
      </c>
      <c r="J46" s="363">
        <v>0</v>
      </c>
      <c r="K46" s="363">
        <f t="shared" si="19"/>
        <v>5395.5998093000017</v>
      </c>
      <c r="L46" s="363">
        <f>21162+84.8023*36.091</f>
        <v>24222.599809300002</v>
      </c>
      <c r="M46" s="363">
        <v>15.1</v>
      </c>
      <c r="N46" s="363">
        <v>1238.5999999999999</v>
      </c>
      <c r="O46" s="363">
        <f t="shared" si="3"/>
        <v>1253.6999999999998</v>
      </c>
      <c r="P46" s="363">
        <v>133.69999999999999</v>
      </c>
      <c r="Q46" s="363">
        <v>235.1</v>
      </c>
      <c r="R46" s="363">
        <v>770.8</v>
      </c>
      <c r="S46" s="363">
        <v>938.40000000000009</v>
      </c>
      <c r="T46" s="363">
        <v>147.79999999999998</v>
      </c>
      <c r="U46" s="377" t="s">
        <v>744</v>
      </c>
      <c r="V46" s="376" t="s">
        <v>744</v>
      </c>
      <c r="W46" s="363">
        <v>590.5</v>
      </c>
      <c r="X46" s="363">
        <v>452.6</v>
      </c>
      <c r="Y46" s="363">
        <v>407.4</v>
      </c>
      <c r="Z46" s="363">
        <v>2882.6</v>
      </c>
      <c r="AA46" s="363">
        <v>1719.9</v>
      </c>
      <c r="AB46" s="363">
        <v>157.30000000000001</v>
      </c>
      <c r="AC46" s="363">
        <v>515.5</v>
      </c>
      <c r="AD46" s="363">
        <v>514</v>
      </c>
      <c r="AE46" s="363">
        <v>1695</v>
      </c>
      <c r="AF46" s="363">
        <v>1688.8</v>
      </c>
      <c r="AG46" s="363">
        <v>1189.5</v>
      </c>
      <c r="AH46" s="363">
        <v>2721.5</v>
      </c>
      <c r="AI46" s="363">
        <v>356.3</v>
      </c>
      <c r="AJ46" s="363">
        <v>2088</v>
      </c>
      <c r="AK46" s="363">
        <v>1785.1</v>
      </c>
      <c r="AL46" s="363">
        <v>9741.3999999999978</v>
      </c>
      <c r="AM46" s="363">
        <f t="shared" si="20"/>
        <v>30731.199999999993</v>
      </c>
      <c r="AN46" s="363">
        <f t="shared" si="21"/>
        <v>31984.899999999994</v>
      </c>
      <c r="AO46" s="363">
        <f t="shared" si="22"/>
        <v>-7762.3001906999925</v>
      </c>
      <c r="AP46" s="377" t="s">
        <v>744</v>
      </c>
    </row>
    <row r="47" spans="1:42" s="333" customFormat="1" ht="10.7" customHeight="1">
      <c r="A47" s="212" t="s">
        <v>745</v>
      </c>
      <c r="B47" s="296">
        <v>103</v>
      </c>
      <c r="C47" s="296">
        <v>712</v>
      </c>
      <c r="D47" s="296">
        <v>3</v>
      </c>
      <c r="E47" s="296">
        <v>55</v>
      </c>
      <c r="F47" s="296">
        <f>110+290</f>
        <v>400</v>
      </c>
      <c r="G47" s="296">
        <v>17399</v>
      </c>
      <c r="H47" s="296">
        <v>0</v>
      </c>
      <c r="I47" s="296">
        <v>0</v>
      </c>
      <c r="J47" s="296">
        <v>0</v>
      </c>
      <c r="K47" s="296">
        <f t="shared" si="19"/>
        <v>5889.9605144999987</v>
      </c>
      <c r="L47" s="296">
        <f>20947+42.629*84.8005</f>
        <v>24561.960514499999</v>
      </c>
      <c r="M47" s="296">
        <v>18.600000000000001</v>
      </c>
      <c r="N47" s="296">
        <v>648.9</v>
      </c>
      <c r="O47" s="296">
        <f t="shared" si="3"/>
        <v>667.5</v>
      </c>
      <c r="P47" s="296">
        <v>167.6</v>
      </c>
      <c r="Q47" s="296">
        <v>252.4</v>
      </c>
      <c r="R47" s="296">
        <v>447.7</v>
      </c>
      <c r="S47" s="296">
        <v>1149.9000000000001</v>
      </c>
      <c r="T47" s="296">
        <v>339.1</v>
      </c>
      <c r="U47" s="270" t="s">
        <v>745</v>
      </c>
      <c r="V47" s="211" t="s">
        <v>745</v>
      </c>
      <c r="W47" s="296">
        <v>575.6</v>
      </c>
      <c r="X47" s="296">
        <v>458</v>
      </c>
      <c r="Y47" s="296">
        <v>765.9</v>
      </c>
      <c r="Z47" s="296">
        <v>2758.3</v>
      </c>
      <c r="AA47" s="296">
        <v>1845.3</v>
      </c>
      <c r="AB47" s="296">
        <v>110.1</v>
      </c>
      <c r="AC47" s="296">
        <v>996</v>
      </c>
      <c r="AD47" s="296">
        <v>552.5</v>
      </c>
      <c r="AE47" s="296">
        <v>1983.1</v>
      </c>
      <c r="AF47" s="296">
        <v>1657</v>
      </c>
      <c r="AG47" s="296">
        <v>1362.1</v>
      </c>
      <c r="AH47" s="296">
        <v>2880.7</v>
      </c>
      <c r="AI47" s="296">
        <v>430.3</v>
      </c>
      <c r="AJ47" s="296">
        <v>3153.5</v>
      </c>
      <c r="AK47" s="296">
        <v>2174.5</v>
      </c>
      <c r="AL47" s="296">
        <v>10446.200000000001</v>
      </c>
      <c r="AM47" s="296">
        <f t="shared" si="20"/>
        <v>34505.800000000003</v>
      </c>
      <c r="AN47" s="296">
        <f t="shared" si="21"/>
        <v>35173.300000000003</v>
      </c>
      <c r="AO47" s="296">
        <f t="shared" si="22"/>
        <v>-10611.339485500004</v>
      </c>
      <c r="AP47" s="270" t="s">
        <v>745</v>
      </c>
    </row>
    <row r="48" spans="1:42" s="333" customFormat="1" ht="10.7" customHeight="1">
      <c r="A48" s="385" t="s">
        <v>738</v>
      </c>
      <c r="B48" s="363">
        <v>113</v>
      </c>
      <c r="C48" s="363">
        <v>688</v>
      </c>
      <c r="D48" s="363">
        <v>1</v>
      </c>
      <c r="E48" s="363">
        <v>75</v>
      </c>
      <c r="F48" s="363">
        <f>103+238</f>
        <v>341</v>
      </c>
      <c r="G48" s="363">
        <v>18403</v>
      </c>
      <c r="H48" s="363">
        <v>0</v>
      </c>
      <c r="I48" s="363">
        <v>0</v>
      </c>
      <c r="J48" s="363">
        <v>0</v>
      </c>
      <c r="K48" s="363">
        <f t="shared" si="19"/>
        <v>6710.7729073999981</v>
      </c>
      <c r="L48" s="363">
        <f>22231+48.358*84.8003</f>
        <v>26331.772907399998</v>
      </c>
      <c r="M48" s="363">
        <v>21</v>
      </c>
      <c r="N48" s="363">
        <v>1241.5</v>
      </c>
      <c r="O48" s="363">
        <f t="shared" si="3"/>
        <v>1262.5</v>
      </c>
      <c r="P48" s="363">
        <v>304.39999999999998</v>
      </c>
      <c r="Q48" s="363">
        <v>227.79999999999998</v>
      </c>
      <c r="R48" s="363">
        <v>1040.6999999999998</v>
      </c>
      <c r="S48" s="363">
        <v>1102.2</v>
      </c>
      <c r="T48" s="363">
        <v>529.29999999999995</v>
      </c>
      <c r="U48" s="377" t="s">
        <v>738</v>
      </c>
      <c r="V48" s="376" t="s">
        <v>738</v>
      </c>
      <c r="W48" s="363">
        <v>633.59999999999991</v>
      </c>
      <c r="X48" s="363">
        <v>529.70000000000005</v>
      </c>
      <c r="Y48" s="363">
        <v>717.8</v>
      </c>
      <c r="Z48" s="363">
        <v>2937.6000000000004</v>
      </c>
      <c r="AA48" s="363">
        <v>1921.8</v>
      </c>
      <c r="AB48" s="363">
        <v>137.80000000000001</v>
      </c>
      <c r="AC48" s="363">
        <v>1469.1000000000001</v>
      </c>
      <c r="AD48" s="363">
        <v>564.29999999999995</v>
      </c>
      <c r="AE48" s="363">
        <v>2004.3</v>
      </c>
      <c r="AF48" s="363">
        <v>1824.3000000000002</v>
      </c>
      <c r="AG48" s="363">
        <v>1340.6</v>
      </c>
      <c r="AH48" s="363">
        <v>2994.9</v>
      </c>
      <c r="AI48" s="363">
        <v>454.8</v>
      </c>
      <c r="AJ48" s="363">
        <v>2917.2</v>
      </c>
      <c r="AK48" s="363">
        <v>1982.1</v>
      </c>
      <c r="AL48" s="363">
        <v>12452.8</v>
      </c>
      <c r="AM48" s="363">
        <f t="shared" si="20"/>
        <v>38087.1</v>
      </c>
      <c r="AN48" s="363">
        <f t="shared" si="21"/>
        <v>39349.599999999999</v>
      </c>
      <c r="AO48" s="363">
        <f t="shared" si="22"/>
        <v>-13017.8270926</v>
      </c>
      <c r="AP48" s="377" t="s">
        <v>738</v>
      </c>
    </row>
    <row r="49" spans="1:44" s="333" customFormat="1" ht="10.7" customHeight="1">
      <c r="A49" s="212" t="s">
        <v>746</v>
      </c>
      <c r="B49" s="296">
        <v>99</v>
      </c>
      <c r="C49" s="296">
        <v>915</v>
      </c>
      <c r="D49" s="296">
        <v>2</v>
      </c>
      <c r="E49" s="296">
        <v>76</v>
      </c>
      <c r="F49" s="296">
        <f>120+188</f>
        <v>308</v>
      </c>
      <c r="G49" s="296">
        <v>17340</v>
      </c>
      <c r="H49" s="296">
        <v>0</v>
      </c>
      <c r="I49" s="296">
        <v>0</v>
      </c>
      <c r="J49" s="296">
        <v>0</v>
      </c>
      <c r="K49" s="296">
        <f t="shared" si="19"/>
        <v>5764.7368434000018</v>
      </c>
      <c r="L49" s="296">
        <f>20986+41.494*84.8011</f>
        <v>24504.736843400002</v>
      </c>
      <c r="M49" s="296">
        <v>34.9</v>
      </c>
      <c r="N49" s="296">
        <v>700.3</v>
      </c>
      <c r="O49" s="296">
        <f t="shared" si="3"/>
        <v>735.19999999999993</v>
      </c>
      <c r="P49" s="296">
        <v>255.8</v>
      </c>
      <c r="Q49" s="296">
        <v>215</v>
      </c>
      <c r="R49" s="296">
        <v>1217.0999999999999</v>
      </c>
      <c r="S49" s="296">
        <v>1144.8</v>
      </c>
      <c r="T49" s="296">
        <v>273.10000000000002</v>
      </c>
      <c r="U49" s="270" t="s">
        <v>746</v>
      </c>
      <c r="V49" s="211" t="s">
        <v>746</v>
      </c>
      <c r="W49" s="296">
        <v>503.4</v>
      </c>
      <c r="X49" s="296">
        <v>778.8</v>
      </c>
      <c r="Y49" s="296">
        <v>556.70000000000005</v>
      </c>
      <c r="Z49" s="296">
        <v>3014.2</v>
      </c>
      <c r="AA49" s="296">
        <v>1917.8</v>
      </c>
      <c r="AB49" s="296">
        <v>637.6</v>
      </c>
      <c r="AC49" s="296">
        <v>979.1</v>
      </c>
      <c r="AD49" s="296">
        <v>505.1</v>
      </c>
      <c r="AE49" s="296">
        <v>2404.1</v>
      </c>
      <c r="AF49" s="296">
        <v>2238.4</v>
      </c>
      <c r="AG49" s="296">
        <v>1342.4</v>
      </c>
      <c r="AH49" s="296">
        <v>3051.8</v>
      </c>
      <c r="AI49" s="296">
        <v>562</v>
      </c>
      <c r="AJ49" s="296">
        <v>2797.2</v>
      </c>
      <c r="AK49" s="296">
        <v>1948.35</v>
      </c>
      <c r="AL49" s="296">
        <v>11669.7</v>
      </c>
      <c r="AM49" s="296">
        <f t="shared" si="20"/>
        <v>38012.450000000004</v>
      </c>
      <c r="AN49" s="296">
        <f t="shared" si="21"/>
        <v>38747.65</v>
      </c>
      <c r="AO49" s="296">
        <f t="shared" si="22"/>
        <v>-14242.9131566</v>
      </c>
      <c r="AP49" s="270" t="s">
        <v>746</v>
      </c>
    </row>
    <row r="50" spans="1:44" s="333" customFormat="1" ht="10.7" customHeight="1">
      <c r="A50" s="385" t="s">
        <v>747</v>
      </c>
      <c r="B50" s="363">
        <v>95</v>
      </c>
      <c r="C50" s="363">
        <v>728</v>
      </c>
      <c r="D50" s="363">
        <v>1</v>
      </c>
      <c r="E50" s="363">
        <v>54</v>
      </c>
      <c r="F50" s="363">
        <f>84+117</f>
        <v>201</v>
      </c>
      <c r="G50" s="363">
        <v>16163</v>
      </c>
      <c r="H50" s="363">
        <v>0</v>
      </c>
      <c r="I50" s="363">
        <v>0</v>
      </c>
      <c r="J50" s="363">
        <v>0</v>
      </c>
      <c r="K50" s="363">
        <f t="shared" si="19"/>
        <v>5577.6341326000002</v>
      </c>
      <c r="L50" s="363">
        <f>19460+39.618*84.8007</f>
        <v>22819.6341326</v>
      </c>
      <c r="M50" s="363">
        <v>370.9</v>
      </c>
      <c r="N50" s="363">
        <v>1547.9</v>
      </c>
      <c r="O50" s="363">
        <f t="shared" si="3"/>
        <v>1918.8000000000002</v>
      </c>
      <c r="P50" s="363">
        <v>261.29999999999995</v>
      </c>
      <c r="Q50" s="363">
        <v>208.1</v>
      </c>
      <c r="R50" s="363">
        <v>776.2</v>
      </c>
      <c r="S50" s="363">
        <v>1130.5</v>
      </c>
      <c r="T50" s="363">
        <v>719.5</v>
      </c>
      <c r="U50" s="377" t="s">
        <v>747</v>
      </c>
      <c r="V50" s="376" t="s">
        <v>747</v>
      </c>
      <c r="W50" s="363">
        <v>558.20000000000005</v>
      </c>
      <c r="X50" s="363">
        <v>377.8</v>
      </c>
      <c r="Y50" s="363">
        <v>735.5</v>
      </c>
      <c r="Z50" s="363">
        <v>2732.3</v>
      </c>
      <c r="AA50" s="363">
        <v>1658.1</v>
      </c>
      <c r="AB50" s="363">
        <v>88.100000000000009</v>
      </c>
      <c r="AC50" s="363">
        <v>694.9</v>
      </c>
      <c r="AD50" s="363">
        <v>518.69999999999993</v>
      </c>
      <c r="AE50" s="363">
        <v>2132.1000000000004</v>
      </c>
      <c r="AF50" s="363">
        <v>2452.9</v>
      </c>
      <c r="AG50" s="363">
        <v>1294.1999999999998</v>
      </c>
      <c r="AH50" s="363">
        <v>2919.2999999999997</v>
      </c>
      <c r="AI50" s="363">
        <v>575</v>
      </c>
      <c r="AJ50" s="363">
        <v>2419.1999999999998</v>
      </c>
      <c r="AK50" s="363">
        <v>3773.7200000000003</v>
      </c>
      <c r="AL50" s="363">
        <v>11889.399999999998</v>
      </c>
      <c r="AM50" s="363">
        <f t="shared" si="20"/>
        <v>37915.019999999997</v>
      </c>
      <c r="AN50" s="363">
        <f t="shared" si="21"/>
        <v>39833.82</v>
      </c>
      <c r="AO50" s="363">
        <f t="shared" si="22"/>
        <v>-17014.1858674</v>
      </c>
      <c r="AP50" s="377" t="s">
        <v>747</v>
      </c>
    </row>
    <row r="51" spans="1:44" s="333" customFormat="1" ht="10.7" customHeight="1">
      <c r="A51" s="212" t="s">
        <v>739</v>
      </c>
      <c r="B51" s="296">
        <v>75</v>
      </c>
      <c r="C51" s="296">
        <v>696</v>
      </c>
      <c r="D51" s="296">
        <v>3</v>
      </c>
      <c r="E51" s="296">
        <v>85</v>
      </c>
      <c r="F51" s="296">
        <f>83+157</f>
        <v>240</v>
      </c>
      <c r="G51" s="296">
        <v>20151</v>
      </c>
      <c r="H51" s="296">
        <v>87</v>
      </c>
      <c r="I51" s="296">
        <v>0</v>
      </c>
      <c r="J51" s="296">
        <v>0</v>
      </c>
      <c r="K51" s="296">
        <f t="shared" si="19"/>
        <v>6563.7251930999992</v>
      </c>
      <c r="L51" s="296">
        <f>23944+46.659*84.8009</f>
        <v>27900.725193099999</v>
      </c>
      <c r="M51" s="296">
        <v>891.9</v>
      </c>
      <c r="N51" s="296">
        <v>1596.7</v>
      </c>
      <c r="O51" s="296">
        <f t="shared" si="3"/>
        <v>2488.6</v>
      </c>
      <c r="P51" s="296">
        <v>241.29999999999998</v>
      </c>
      <c r="Q51" s="296">
        <v>289</v>
      </c>
      <c r="R51" s="296">
        <v>1286.5</v>
      </c>
      <c r="S51" s="296">
        <v>2277.5</v>
      </c>
      <c r="T51" s="296">
        <v>1073.5</v>
      </c>
      <c r="U51" s="270" t="s">
        <v>739</v>
      </c>
      <c r="V51" s="211" t="s">
        <v>739</v>
      </c>
      <c r="W51" s="296">
        <v>513.29999999999995</v>
      </c>
      <c r="X51" s="296">
        <v>715.8</v>
      </c>
      <c r="Y51" s="296">
        <v>1066.5</v>
      </c>
      <c r="Z51" s="296">
        <v>4578.8</v>
      </c>
      <c r="AA51" s="296">
        <v>1947.2</v>
      </c>
      <c r="AB51" s="296">
        <v>139</v>
      </c>
      <c r="AC51" s="296">
        <v>783.9</v>
      </c>
      <c r="AD51" s="296">
        <v>556.9</v>
      </c>
      <c r="AE51" s="296">
        <v>2643.8</v>
      </c>
      <c r="AF51" s="296">
        <v>3206.2000000000003</v>
      </c>
      <c r="AG51" s="296">
        <v>1464.2</v>
      </c>
      <c r="AH51" s="296">
        <v>3179.1</v>
      </c>
      <c r="AI51" s="296">
        <v>630.5</v>
      </c>
      <c r="AJ51" s="296">
        <v>3576</v>
      </c>
      <c r="AK51" s="296">
        <v>1840.39</v>
      </c>
      <c r="AL51" s="296">
        <v>12001.999999999993</v>
      </c>
      <c r="AM51" s="296">
        <f t="shared" si="20"/>
        <v>44011.39</v>
      </c>
      <c r="AN51" s="296">
        <f t="shared" si="21"/>
        <v>46499.99</v>
      </c>
      <c r="AO51" s="296">
        <f t="shared" si="22"/>
        <v>-18599.264806899999</v>
      </c>
      <c r="AP51" s="270" t="s">
        <v>739</v>
      </c>
    </row>
    <row r="52" spans="1:44" s="333" customFormat="1" ht="10.7" customHeight="1">
      <c r="A52" s="385" t="s">
        <v>2696</v>
      </c>
      <c r="B52" s="363">
        <v>48</v>
      </c>
      <c r="C52" s="363">
        <v>562</v>
      </c>
      <c r="D52" s="363">
        <v>3</v>
      </c>
      <c r="E52" s="363">
        <v>74</v>
      </c>
      <c r="F52" s="363">
        <f>49+135</f>
        <v>184</v>
      </c>
      <c r="G52" s="363">
        <v>16385</v>
      </c>
      <c r="H52" s="363">
        <v>0</v>
      </c>
      <c r="I52" s="363">
        <v>0</v>
      </c>
      <c r="J52" s="363">
        <v>0</v>
      </c>
      <c r="K52" s="363">
        <f t="shared" si="19"/>
        <v>6472.877206000001</v>
      </c>
      <c r="L52" s="363">
        <f>19624+84.801*48.406</f>
        <v>23728.877206000001</v>
      </c>
      <c r="M52" s="363">
        <v>773</v>
      </c>
      <c r="N52" s="363">
        <v>954</v>
      </c>
      <c r="O52" s="363">
        <f t="shared" si="3"/>
        <v>1727</v>
      </c>
      <c r="P52" s="363">
        <v>267</v>
      </c>
      <c r="Q52" s="363">
        <v>241</v>
      </c>
      <c r="R52" s="363">
        <v>699</v>
      </c>
      <c r="S52" s="363">
        <v>1734</v>
      </c>
      <c r="T52" s="363">
        <v>212</v>
      </c>
      <c r="U52" s="377" t="s">
        <v>2696</v>
      </c>
      <c r="V52" s="376" t="s">
        <v>2696</v>
      </c>
      <c r="W52" s="363">
        <v>1219</v>
      </c>
      <c r="X52" s="363">
        <v>690</v>
      </c>
      <c r="Y52" s="363">
        <v>810</v>
      </c>
      <c r="Z52" s="363">
        <v>4334</v>
      </c>
      <c r="AA52" s="363">
        <v>1992</v>
      </c>
      <c r="AB52" s="363">
        <v>132</v>
      </c>
      <c r="AC52" s="363">
        <v>228</v>
      </c>
      <c r="AD52" s="363">
        <v>525</v>
      </c>
      <c r="AE52" s="363">
        <v>2324</v>
      </c>
      <c r="AF52" s="363">
        <v>3119</v>
      </c>
      <c r="AG52" s="363">
        <v>1559</v>
      </c>
      <c r="AH52" s="363">
        <v>2884</v>
      </c>
      <c r="AI52" s="363">
        <v>669</v>
      </c>
      <c r="AJ52" s="363">
        <v>3051</v>
      </c>
      <c r="AK52" s="363">
        <v>1628.98</v>
      </c>
      <c r="AL52" s="363">
        <v>12026.100000000006</v>
      </c>
      <c r="AM52" s="363">
        <f t="shared" si="20"/>
        <v>40344.080000000002</v>
      </c>
      <c r="AN52" s="363">
        <f t="shared" si="21"/>
        <v>42071.08</v>
      </c>
      <c r="AO52" s="363">
        <f t="shared" si="22"/>
        <v>-18342.202794000001</v>
      </c>
      <c r="AP52" s="377" t="s">
        <v>2696</v>
      </c>
    </row>
    <row r="53" spans="1:44" s="333" customFormat="1" ht="10.7" customHeight="1" thickBot="1">
      <c r="A53" s="1567" t="s">
        <v>749</v>
      </c>
      <c r="B53" s="1568">
        <v>51</v>
      </c>
      <c r="C53" s="1568">
        <v>606</v>
      </c>
      <c r="D53" s="1568">
        <v>2</v>
      </c>
      <c r="E53" s="1568">
        <v>91</v>
      </c>
      <c r="F53" s="1568">
        <f>54+167</f>
        <v>221</v>
      </c>
      <c r="G53" s="1568">
        <v>17514</v>
      </c>
      <c r="H53" s="1568">
        <v>0</v>
      </c>
      <c r="I53" s="1568">
        <v>0</v>
      </c>
      <c r="J53" s="1568">
        <v>0</v>
      </c>
      <c r="K53" s="1568">
        <f t="shared" si="19"/>
        <v>5996.1338976000006</v>
      </c>
      <c r="L53" s="1568">
        <f>21005+40.992*84.8003</f>
        <v>24481.133897600001</v>
      </c>
      <c r="M53" s="1568">
        <v>580.20000000000005</v>
      </c>
      <c r="N53" s="1568">
        <v>980.09999999999991</v>
      </c>
      <c r="O53" s="1568">
        <f t="shared" si="3"/>
        <v>1560.3</v>
      </c>
      <c r="P53" s="1568">
        <v>260.8</v>
      </c>
      <c r="Q53" s="1568">
        <v>275.39999999999998</v>
      </c>
      <c r="R53" s="1568">
        <v>967.3</v>
      </c>
      <c r="S53" s="1568">
        <v>1412.9</v>
      </c>
      <c r="T53" s="1568">
        <v>363.1</v>
      </c>
      <c r="U53" s="1126" t="s">
        <v>749</v>
      </c>
      <c r="V53" s="1011" t="s">
        <v>749</v>
      </c>
      <c r="W53" s="1568">
        <v>553</v>
      </c>
      <c r="X53" s="1568">
        <v>742.6</v>
      </c>
      <c r="Y53" s="1568">
        <v>399.8</v>
      </c>
      <c r="Z53" s="1568">
        <v>4270.2</v>
      </c>
      <c r="AA53" s="1568">
        <v>1838.9</v>
      </c>
      <c r="AB53" s="1568">
        <v>125</v>
      </c>
      <c r="AC53" s="1568">
        <v>371.8</v>
      </c>
      <c r="AD53" s="1568">
        <v>542.80000000000007</v>
      </c>
      <c r="AE53" s="1568">
        <v>2622.5</v>
      </c>
      <c r="AF53" s="1568">
        <v>2564.8000000000002</v>
      </c>
      <c r="AG53" s="1568">
        <v>1763.7</v>
      </c>
      <c r="AH53" s="1568">
        <v>3283.2999999999997</v>
      </c>
      <c r="AI53" s="1568">
        <v>593.79999999999995</v>
      </c>
      <c r="AJ53" s="1568">
        <v>3855.6</v>
      </c>
      <c r="AK53" s="1568">
        <v>2286.1400000000003</v>
      </c>
      <c r="AL53" s="1568">
        <v>11468.099999999999</v>
      </c>
      <c r="AM53" s="1568">
        <f t="shared" si="20"/>
        <v>40561.539999999994</v>
      </c>
      <c r="AN53" s="1568">
        <f t="shared" si="21"/>
        <v>42121.84</v>
      </c>
      <c r="AO53" s="1568">
        <f t="shared" si="22"/>
        <v>-17640.706102399996</v>
      </c>
      <c r="AP53" s="1126" t="s">
        <v>749</v>
      </c>
    </row>
    <row r="54" spans="1:44" s="47" customFormat="1" ht="10.5" customHeight="1">
      <c r="A54" s="262" t="s">
        <v>971</v>
      </c>
      <c r="B54" s="843" t="s">
        <v>1733</v>
      </c>
      <c r="C54" s="843"/>
      <c r="D54" s="843"/>
      <c r="E54" s="843"/>
      <c r="F54" s="843"/>
      <c r="G54" s="843"/>
      <c r="H54" s="843"/>
      <c r="I54" s="843"/>
      <c r="J54" s="53"/>
      <c r="K54" s="476"/>
      <c r="L54" s="843"/>
      <c r="M54" s="263" t="s">
        <v>1812</v>
      </c>
      <c r="N54" s="1807" t="s">
        <v>1999</v>
      </c>
      <c r="O54" s="1807"/>
      <c r="P54" s="1807"/>
      <c r="Q54" s="1807"/>
      <c r="R54" s="1807"/>
      <c r="S54" s="1807"/>
      <c r="T54" s="1807"/>
      <c r="U54" s="1807"/>
      <c r="V54" s="254" t="s">
        <v>16</v>
      </c>
      <c r="W54" s="2033" t="s">
        <v>1642</v>
      </c>
      <c r="X54" s="2033"/>
      <c r="Y54" s="2033"/>
      <c r="Z54" s="2033"/>
      <c r="AA54" s="2033"/>
      <c r="AB54" s="2033"/>
      <c r="AC54" s="2033"/>
      <c r="AD54" s="1530"/>
      <c r="AE54" s="53"/>
      <c r="AF54" s="253"/>
      <c r="AG54" s="253"/>
      <c r="AH54" s="174"/>
      <c r="AI54" s="174"/>
      <c r="AJ54" s="174"/>
      <c r="AK54" s="174"/>
      <c r="AL54" s="174"/>
      <c r="AM54" s="477"/>
      <c r="AN54" s="253"/>
      <c r="AO54" s="253"/>
      <c r="AP54" s="264"/>
    </row>
    <row r="55" spans="1:44" s="47" customFormat="1" ht="10.5" customHeight="1">
      <c r="A55" s="252" t="s">
        <v>970</v>
      </c>
      <c r="B55" s="2033" t="s">
        <v>1637</v>
      </c>
      <c r="C55" s="2033"/>
      <c r="D55" s="2033"/>
      <c r="E55" s="2033"/>
      <c r="F55" s="2033"/>
      <c r="G55" s="2033"/>
      <c r="H55" s="2033"/>
      <c r="I55" s="253"/>
      <c r="J55" s="253"/>
      <c r="K55" s="253"/>
      <c r="L55" s="843"/>
      <c r="N55" s="265"/>
      <c r="O55" s="2010"/>
      <c r="P55" s="2010"/>
      <c r="U55" s="255"/>
      <c r="V55" s="264"/>
      <c r="W55" s="2010" t="s">
        <v>537</v>
      </c>
      <c r="X55" s="2010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1444"/>
      <c r="AO55" s="53"/>
      <c r="AP55" s="264"/>
      <c r="AR55" s="1477"/>
    </row>
    <row r="56" spans="1:44">
      <c r="A56" s="252"/>
      <c r="B56" s="2010"/>
      <c r="C56" s="2010"/>
      <c r="D56" s="2010" t="s">
        <v>537</v>
      </c>
      <c r="E56" s="2010"/>
      <c r="F56" s="1530"/>
      <c r="G56" s="1591" t="s">
        <v>2633</v>
      </c>
      <c r="H56" s="1530"/>
      <c r="I56" s="253"/>
      <c r="J56" s="253"/>
      <c r="K56" s="253"/>
      <c r="L56" s="843"/>
      <c r="M56" s="47"/>
      <c r="N56" s="265"/>
      <c r="O56" s="1531"/>
      <c r="P56" s="1531"/>
      <c r="Q56" s="47"/>
      <c r="R56" s="47"/>
      <c r="S56" s="47"/>
      <c r="T56" s="47"/>
      <c r="U56" s="255"/>
      <c r="V56" s="264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264"/>
      <c r="AR56" s="805"/>
    </row>
    <row r="57" spans="1:44" ht="10.5" customHeight="1">
      <c r="G57" s="805"/>
      <c r="H57" s="805"/>
      <c r="I57" s="805"/>
      <c r="K57" s="477"/>
      <c r="L57" s="1544"/>
      <c r="M57" s="1544"/>
    </row>
    <row r="58" spans="1:44">
      <c r="C58" s="805"/>
      <c r="D58" s="805"/>
      <c r="G58" s="805"/>
      <c r="H58" s="805"/>
      <c r="I58" s="805"/>
      <c r="K58" s="805"/>
      <c r="N58" s="805"/>
      <c r="S58" s="285"/>
      <c r="U58" s="837"/>
    </row>
    <row r="59" spans="1:44">
      <c r="E59" s="805"/>
      <c r="F59" s="805"/>
      <c r="G59" s="805"/>
      <c r="H59" s="805"/>
      <c r="I59" s="1132"/>
      <c r="N59" s="805"/>
      <c r="W59" s="805"/>
      <c r="X59" s="805"/>
      <c r="Y59" s="805"/>
      <c r="Z59" s="805"/>
      <c r="AA59" s="805"/>
      <c r="AB59" s="805"/>
      <c r="AC59" s="805"/>
      <c r="AD59" s="805"/>
      <c r="AE59" s="805"/>
      <c r="AF59" s="805"/>
      <c r="AG59" s="805"/>
      <c r="AH59" s="805"/>
      <c r="AI59" s="805"/>
      <c r="AJ59" s="805"/>
    </row>
    <row r="60" spans="1:44">
      <c r="B60" s="805"/>
      <c r="C60" s="805"/>
      <c r="D60" s="805"/>
      <c r="E60" s="805"/>
      <c r="F60" s="805"/>
      <c r="G60" s="805"/>
      <c r="H60" s="805"/>
      <c r="I60" s="805"/>
      <c r="J60" s="805"/>
      <c r="K60" s="805"/>
      <c r="L60" s="805"/>
      <c r="M60" s="805"/>
      <c r="N60" s="805"/>
      <c r="O60" s="805"/>
      <c r="P60" s="805"/>
      <c r="Q60" s="805"/>
      <c r="R60" s="805"/>
      <c r="S60" s="805"/>
      <c r="T60" s="805"/>
      <c r="U60" s="805"/>
      <c r="V60" s="805"/>
      <c r="W60" s="805"/>
      <c r="X60" s="805"/>
      <c r="Y60" s="805"/>
      <c r="Z60" s="805"/>
      <c r="AA60" s="805"/>
      <c r="AB60" s="805"/>
      <c r="AC60" s="805"/>
      <c r="AD60" s="805"/>
      <c r="AE60" s="805"/>
      <c r="AF60" s="805"/>
      <c r="AG60" s="805"/>
      <c r="AH60" s="805"/>
      <c r="AI60" s="805"/>
      <c r="AJ60" s="805"/>
      <c r="AK60" s="805"/>
      <c r="AL60" s="805"/>
      <c r="AM60" s="805"/>
      <c r="AN60" s="805"/>
      <c r="AO60" s="805"/>
      <c r="AP60" s="805"/>
    </row>
    <row r="61" spans="1:44">
      <c r="G61" s="805"/>
      <c r="H61" s="805"/>
      <c r="J61" s="805"/>
      <c r="L61" s="1545"/>
      <c r="W61" s="805"/>
    </row>
    <row r="62" spans="1:44">
      <c r="J62" s="805"/>
      <c r="W62" s="805"/>
    </row>
    <row r="63" spans="1:44">
      <c r="J63" s="805"/>
      <c r="W63" s="805"/>
    </row>
    <row r="64" spans="1:44">
      <c r="J64" s="805"/>
      <c r="W64" s="805"/>
    </row>
    <row r="65" spans="10:23">
      <c r="J65" s="805"/>
    </row>
    <row r="66" spans="10:23">
      <c r="W66" s="805"/>
    </row>
    <row r="67" spans="10:23">
      <c r="W67" s="805"/>
    </row>
    <row r="68" spans="10:23">
      <c r="W68" s="805"/>
    </row>
    <row r="70" spans="10:23">
      <c r="W70" s="805"/>
    </row>
    <row r="71" spans="10:23">
      <c r="W71" s="805"/>
    </row>
    <row r="72" spans="10:23">
      <c r="W72" s="805"/>
    </row>
    <row r="73" spans="10:23">
      <c r="W73" s="805"/>
    </row>
  </sheetData>
  <mergeCells count="39">
    <mergeCell ref="W54:AC54"/>
    <mergeCell ref="B55:H55"/>
    <mergeCell ref="O55:P55"/>
    <mergeCell ref="W55:X55"/>
    <mergeCell ref="P4:T4"/>
    <mergeCell ref="B4:B5"/>
    <mergeCell ref="C4:C5"/>
    <mergeCell ref="F4:F5"/>
    <mergeCell ref="L4:L5"/>
    <mergeCell ref="J4:J5"/>
    <mergeCell ref="A3:A6"/>
    <mergeCell ref="E4:E5"/>
    <mergeCell ref="M3:T3"/>
    <mergeCell ref="U3:U6"/>
    <mergeCell ref="N54:U54"/>
    <mergeCell ref="I4:I5"/>
    <mergeCell ref="B3:L3"/>
    <mergeCell ref="G4:G5"/>
    <mergeCell ref="M1:N1"/>
    <mergeCell ref="K4:K5"/>
    <mergeCell ref="S1:U1"/>
    <mergeCell ref="J1:L1"/>
    <mergeCell ref="M4:O4"/>
    <mergeCell ref="B56:C56"/>
    <mergeCell ref="D56:E56"/>
    <mergeCell ref="AG1:AI1"/>
    <mergeCell ref="AH3:AN3"/>
    <mergeCell ref="AO3:AO5"/>
    <mergeCell ref="AO2:AP2"/>
    <mergeCell ref="V3:V6"/>
    <mergeCell ref="W3:AG3"/>
    <mergeCell ref="W4:AN4"/>
    <mergeCell ref="AN1:AP1"/>
    <mergeCell ref="AP3:AP6"/>
    <mergeCell ref="AE1:AF1"/>
    <mergeCell ref="A1:D1"/>
    <mergeCell ref="T2:U2"/>
    <mergeCell ref="D4:D5"/>
    <mergeCell ref="H4:H5"/>
  </mergeCells>
  <phoneticPr fontId="0" type="noConversion"/>
  <pageMargins left="0.62992125984252001" right="0.511811023622047" top="0.511811023622047" bottom="0.511811023622047" header="0" footer="0.39370078740157499"/>
  <pageSetup paperSize="448" firstPageNumber="32" orientation="portrait" useFirstPageNumber="1" r:id="rId1"/>
  <headerFooter alignWithMargins="0">
    <oddFooter>&amp;C&amp;"Times New Roman,Regular"&amp;8&amp;P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6"/>
  <dimension ref="A1:AC44"/>
  <sheetViews>
    <sheetView zoomScale="140" zoomScaleNormal="140" workbookViewId="0">
      <pane xSplit="1" ySplit="6" topLeftCell="B28" activePane="bottomRight" state="frozen"/>
      <selection activeCell="F85" sqref="F85"/>
      <selection pane="topRight" activeCell="F85" sqref="F85"/>
      <selection pane="bottomLeft" activeCell="F85" sqref="F85"/>
      <selection pane="bottomRight" activeCell="K59" sqref="K59"/>
    </sheetView>
  </sheetViews>
  <sheetFormatPr defaultColWidth="9.140625" defaultRowHeight="12.75"/>
  <cols>
    <col min="1" max="1" width="9.85546875" style="2" customWidth="1"/>
    <col min="2" max="2" width="10.7109375" style="2" customWidth="1"/>
    <col min="3" max="3" width="10.28515625" style="2" customWidth="1"/>
    <col min="4" max="5" width="11" style="2" customWidth="1"/>
    <col min="6" max="6" width="11.140625" style="2" customWidth="1"/>
    <col min="7" max="7" width="10.85546875" style="2" customWidth="1"/>
    <col min="8" max="8" width="12.7109375" style="2" customWidth="1"/>
    <col min="9" max="10" width="10.7109375" style="2" customWidth="1"/>
    <col min="11" max="11" width="10.28515625" style="2" customWidth="1"/>
    <col min="12" max="12" width="11.140625" style="2" customWidth="1"/>
    <col min="13" max="13" width="11" style="2" customWidth="1"/>
    <col min="14" max="14" width="9.85546875" style="2" customWidth="1"/>
    <col min="15" max="15" width="9.7109375" style="2" customWidth="1"/>
    <col min="16" max="16" width="11.7109375" style="2" customWidth="1"/>
    <col min="17" max="17" width="10.85546875" style="2" customWidth="1"/>
    <col min="18" max="18" width="11.140625" style="2" customWidth="1"/>
    <col min="19" max="19" width="10.85546875" style="2" customWidth="1"/>
    <col min="20" max="20" width="11.140625" style="2" customWidth="1"/>
    <col min="21" max="21" width="10.85546875" style="2" customWidth="1"/>
    <col min="22" max="22" width="11.42578125" style="2" customWidth="1"/>
    <col min="23" max="23" width="11" style="2" customWidth="1"/>
    <col min="24" max="24" width="11.42578125" style="2" customWidth="1"/>
    <col min="25" max="25" width="10.85546875" style="2" customWidth="1"/>
    <col min="26" max="26" width="11.5703125" style="2" customWidth="1"/>
    <col min="27" max="27" width="11" style="2" customWidth="1"/>
    <col min="28" max="28" width="12" style="2" customWidth="1"/>
    <col min="29" max="16384" width="9.140625" style="2"/>
  </cols>
  <sheetData>
    <row r="1" spans="1:29" s="28" customFormat="1" ht="15.75" customHeight="1">
      <c r="A1" s="2041" t="s">
        <v>139</v>
      </c>
      <c r="B1" s="2041"/>
      <c r="C1" s="2041"/>
      <c r="D1" s="2041"/>
      <c r="E1" s="2041"/>
      <c r="F1" s="2041"/>
      <c r="G1" s="2041"/>
      <c r="H1" s="2042" t="s">
        <v>140</v>
      </c>
      <c r="I1" s="2042"/>
      <c r="J1" s="2042"/>
      <c r="K1" s="2042"/>
      <c r="M1" s="2041" t="s">
        <v>266</v>
      </c>
      <c r="N1" s="2041"/>
      <c r="O1" s="2041" t="s">
        <v>139</v>
      </c>
      <c r="P1" s="2041"/>
      <c r="Q1" s="2041"/>
      <c r="R1" s="2041"/>
      <c r="S1" s="2041"/>
      <c r="T1" s="2041"/>
      <c r="U1" s="2041"/>
      <c r="V1" s="2042" t="s">
        <v>140</v>
      </c>
      <c r="W1" s="2042"/>
      <c r="X1" s="2042"/>
      <c r="Y1" s="2042"/>
      <c r="Z1" s="29"/>
      <c r="AA1" s="2040" t="s">
        <v>425</v>
      </c>
      <c r="AB1" s="2040"/>
      <c r="AC1" s="29"/>
    </row>
    <row r="2" spans="1:29" s="25" customFormat="1" ht="13.5" customHeight="1">
      <c r="A2" s="92"/>
      <c r="P2" s="93"/>
      <c r="Q2" s="93"/>
      <c r="R2" s="93"/>
      <c r="S2" s="93"/>
      <c r="T2" s="94"/>
      <c r="U2" s="94"/>
      <c r="V2" s="94"/>
      <c r="W2" s="94"/>
      <c r="X2" s="94"/>
      <c r="Y2" s="94"/>
      <c r="Z2" s="94"/>
      <c r="AA2" s="94"/>
      <c r="AB2" s="94"/>
      <c r="AC2" s="94"/>
    </row>
    <row r="3" spans="1:29" s="138" customFormat="1" ht="20.25" customHeight="1">
      <c r="A3" s="2043" t="s">
        <v>663</v>
      </c>
      <c r="B3" s="2046" t="s">
        <v>201</v>
      </c>
      <c r="C3" s="2046"/>
      <c r="D3" s="2046" t="s">
        <v>202</v>
      </c>
      <c r="E3" s="2046"/>
      <c r="F3" s="2046" t="s">
        <v>203</v>
      </c>
      <c r="G3" s="2046"/>
      <c r="H3" s="2046" t="s">
        <v>675</v>
      </c>
      <c r="I3" s="2046"/>
      <c r="J3" s="2046" t="s">
        <v>423</v>
      </c>
      <c r="K3" s="2046"/>
      <c r="L3" s="2046" t="s">
        <v>424</v>
      </c>
      <c r="M3" s="2046"/>
      <c r="N3" s="2043" t="s">
        <v>663</v>
      </c>
      <c r="O3" s="2043" t="s">
        <v>663</v>
      </c>
      <c r="P3" s="2046" t="s">
        <v>426</v>
      </c>
      <c r="Q3" s="2046"/>
      <c r="R3" s="2046" t="s">
        <v>427</v>
      </c>
      <c r="S3" s="2046"/>
      <c r="T3" s="2046" t="s">
        <v>428</v>
      </c>
      <c r="U3" s="2046"/>
      <c r="V3" s="2046" t="s">
        <v>114</v>
      </c>
      <c r="W3" s="2046"/>
      <c r="X3" s="2046" t="s">
        <v>429</v>
      </c>
      <c r="Y3" s="2046"/>
      <c r="Z3" s="2046" t="s">
        <v>135</v>
      </c>
      <c r="AA3" s="2046"/>
      <c r="AB3" s="2043" t="s">
        <v>663</v>
      </c>
    </row>
    <row r="4" spans="1:29" s="821" customFormat="1" ht="23.25" customHeight="1">
      <c r="A4" s="2044"/>
      <c r="B4" s="2036" t="s">
        <v>2063</v>
      </c>
      <c r="C4" s="2036" t="s">
        <v>2066</v>
      </c>
      <c r="D4" s="2036" t="s">
        <v>2063</v>
      </c>
      <c r="E4" s="2036" t="s">
        <v>2508</v>
      </c>
      <c r="F4" s="2036" t="s">
        <v>2063</v>
      </c>
      <c r="G4" s="2036" t="s">
        <v>2508</v>
      </c>
      <c r="H4" s="2036" t="s">
        <v>2590</v>
      </c>
      <c r="I4" s="2036" t="s">
        <v>1063</v>
      </c>
      <c r="J4" s="2036" t="s">
        <v>2589</v>
      </c>
      <c r="K4" s="2036" t="s">
        <v>1063</v>
      </c>
      <c r="L4" s="2036" t="s">
        <v>2063</v>
      </c>
      <c r="M4" s="2036" t="s">
        <v>2065</v>
      </c>
      <c r="N4" s="2044"/>
      <c r="O4" s="2044"/>
      <c r="P4" s="2036" t="s">
        <v>2063</v>
      </c>
      <c r="Q4" s="2036" t="s">
        <v>1063</v>
      </c>
      <c r="R4" s="2036" t="s">
        <v>2063</v>
      </c>
      <c r="S4" s="2036" t="s">
        <v>1063</v>
      </c>
      <c r="T4" s="2036" t="s">
        <v>2063</v>
      </c>
      <c r="U4" s="2036" t="s">
        <v>1063</v>
      </c>
      <c r="V4" s="2036" t="s">
        <v>2063</v>
      </c>
      <c r="W4" s="2036" t="s">
        <v>1063</v>
      </c>
      <c r="X4" s="2036" t="s">
        <v>2064</v>
      </c>
      <c r="Y4" s="2036" t="s">
        <v>1063</v>
      </c>
      <c r="Z4" s="2036" t="s">
        <v>2063</v>
      </c>
      <c r="AA4" s="2036" t="s">
        <v>1063</v>
      </c>
      <c r="AB4" s="2044"/>
    </row>
    <row r="5" spans="1:29" s="821" customFormat="1" ht="21" customHeight="1">
      <c r="A5" s="2045"/>
      <c r="B5" s="1875"/>
      <c r="C5" s="1875"/>
      <c r="D5" s="1875"/>
      <c r="E5" s="1875"/>
      <c r="F5" s="2037"/>
      <c r="G5" s="2048"/>
      <c r="H5" s="2037"/>
      <c r="I5" s="2037"/>
      <c r="J5" s="2037"/>
      <c r="K5" s="1875"/>
      <c r="L5" s="2037"/>
      <c r="M5" s="1875"/>
      <c r="N5" s="2045"/>
      <c r="O5" s="2045"/>
      <c r="P5" s="2037"/>
      <c r="Q5" s="1875"/>
      <c r="R5" s="2037"/>
      <c r="S5" s="1875"/>
      <c r="T5" s="2037"/>
      <c r="U5" s="1875"/>
      <c r="V5" s="2037"/>
      <c r="W5" s="1875"/>
      <c r="X5" s="2037"/>
      <c r="Y5" s="1875"/>
      <c r="Z5" s="2037"/>
      <c r="AA5" s="1875"/>
      <c r="AB5" s="2045"/>
    </row>
    <row r="6" spans="1:29">
      <c r="A6" s="84"/>
      <c r="B6" s="85"/>
      <c r="C6" s="86"/>
      <c r="D6" s="85"/>
      <c r="E6" s="85"/>
      <c r="F6" s="85"/>
      <c r="G6" s="85"/>
      <c r="H6" s="85"/>
      <c r="I6" s="85"/>
      <c r="J6" s="85"/>
      <c r="K6" s="85"/>
      <c r="L6" s="85"/>
      <c r="M6" s="88"/>
      <c r="N6" s="85"/>
      <c r="O6" s="86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"/>
    </row>
    <row r="7" spans="1:29" s="8" customFormat="1" ht="18.75" customHeight="1">
      <c r="A7" s="736" t="s">
        <v>726</v>
      </c>
      <c r="B7" s="802">
        <v>1791</v>
      </c>
      <c r="C7" s="802">
        <v>4111</v>
      </c>
      <c r="D7" s="802">
        <v>8509</v>
      </c>
      <c r="E7" s="802">
        <v>13824</v>
      </c>
      <c r="F7" s="802">
        <v>6538</v>
      </c>
      <c r="G7" s="802">
        <v>6582</v>
      </c>
      <c r="H7" s="802">
        <v>1245</v>
      </c>
      <c r="I7" s="802">
        <v>1580</v>
      </c>
      <c r="J7" s="802">
        <v>7446</v>
      </c>
      <c r="K7" s="802">
        <v>445</v>
      </c>
      <c r="L7" s="802">
        <v>245</v>
      </c>
      <c r="M7" s="802">
        <v>833</v>
      </c>
      <c r="N7" s="694" t="s">
        <v>726</v>
      </c>
      <c r="O7" s="803" t="s">
        <v>726</v>
      </c>
      <c r="P7" s="802">
        <v>32</v>
      </c>
      <c r="Q7" s="802">
        <v>133</v>
      </c>
      <c r="R7" s="802">
        <v>168</v>
      </c>
      <c r="S7" s="802">
        <v>512</v>
      </c>
      <c r="T7" s="802">
        <v>38</v>
      </c>
      <c r="U7" s="802">
        <v>89</v>
      </c>
      <c r="V7" s="802">
        <v>52</v>
      </c>
      <c r="W7" s="802">
        <v>118</v>
      </c>
      <c r="X7" s="802">
        <v>964</v>
      </c>
      <c r="Y7" s="802">
        <v>1383</v>
      </c>
      <c r="Z7" s="802">
        <v>13</v>
      </c>
      <c r="AA7" s="802">
        <v>86</v>
      </c>
      <c r="AB7" s="398" t="s">
        <v>726</v>
      </c>
    </row>
    <row r="8" spans="1:29" s="8" customFormat="1" ht="18.75" customHeight="1">
      <c r="A8" s="311" t="s">
        <v>727</v>
      </c>
      <c r="B8" s="86">
        <v>1676</v>
      </c>
      <c r="C8" s="86">
        <v>3840</v>
      </c>
      <c r="D8" s="86">
        <v>8790</v>
      </c>
      <c r="E8" s="86">
        <v>13953</v>
      </c>
      <c r="F8" s="86">
        <v>7221</v>
      </c>
      <c r="G8" s="86">
        <v>6804</v>
      </c>
      <c r="H8" s="86">
        <v>1369</v>
      </c>
      <c r="I8" s="86">
        <v>1732</v>
      </c>
      <c r="J8" s="86">
        <v>7165</v>
      </c>
      <c r="K8" s="86">
        <v>431</v>
      </c>
      <c r="L8" s="86">
        <v>246</v>
      </c>
      <c r="M8" s="86">
        <v>830</v>
      </c>
      <c r="N8" s="804" t="s">
        <v>727</v>
      </c>
      <c r="O8" s="311" t="s">
        <v>727</v>
      </c>
      <c r="P8" s="86">
        <v>32</v>
      </c>
      <c r="Q8" s="86">
        <v>136</v>
      </c>
      <c r="R8" s="86">
        <v>170</v>
      </c>
      <c r="S8" s="86">
        <v>509</v>
      </c>
      <c r="T8" s="86">
        <v>39</v>
      </c>
      <c r="U8" s="86">
        <v>90</v>
      </c>
      <c r="V8" s="86">
        <v>48</v>
      </c>
      <c r="W8" s="86">
        <v>119</v>
      </c>
      <c r="X8" s="86">
        <v>739</v>
      </c>
      <c r="Y8" s="86">
        <v>1133</v>
      </c>
      <c r="Z8" s="86">
        <v>13</v>
      </c>
      <c r="AA8" s="86">
        <v>86</v>
      </c>
      <c r="AB8" s="804" t="s">
        <v>727</v>
      </c>
    </row>
    <row r="9" spans="1:29" s="8" customFormat="1" ht="18.75" customHeight="1">
      <c r="A9" s="803" t="s">
        <v>728</v>
      </c>
      <c r="B9" s="802">
        <v>1871</v>
      </c>
      <c r="C9" s="802">
        <v>3935</v>
      </c>
      <c r="D9" s="802">
        <v>9552</v>
      </c>
      <c r="E9" s="802">
        <v>14399</v>
      </c>
      <c r="F9" s="802">
        <v>7460</v>
      </c>
      <c r="G9" s="802">
        <v>6876</v>
      </c>
      <c r="H9" s="802">
        <v>1454</v>
      </c>
      <c r="I9" s="802">
        <v>1749</v>
      </c>
      <c r="J9" s="802">
        <v>7520</v>
      </c>
      <c r="K9" s="802">
        <v>434</v>
      </c>
      <c r="L9" s="802">
        <v>249</v>
      </c>
      <c r="M9" s="802">
        <v>831</v>
      </c>
      <c r="N9" s="398" t="s">
        <v>728</v>
      </c>
      <c r="O9" s="803" t="s">
        <v>728</v>
      </c>
      <c r="P9" s="802">
        <v>34</v>
      </c>
      <c r="Q9" s="802">
        <v>136</v>
      </c>
      <c r="R9" s="802">
        <v>171</v>
      </c>
      <c r="S9" s="802">
        <v>510</v>
      </c>
      <c r="T9" s="802">
        <v>38</v>
      </c>
      <c r="U9" s="802">
        <v>86</v>
      </c>
      <c r="V9" s="802">
        <v>53</v>
      </c>
      <c r="W9" s="802">
        <v>119</v>
      </c>
      <c r="X9" s="802">
        <v>883</v>
      </c>
      <c r="Y9" s="802">
        <v>1253</v>
      </c>
      <c r="Z9" s="802">
        <v>14</v>
      </c>
      <c r="AA9" s="802">
        <v>91</v>
      </c>
      <c r="AB9" s="398" t="s">
        <v>728</v>
      </c>
    </row>
    <row r="10" spans="1:29" s="8" customFormat="1" ht="18.75" customHeight="1">
      <c r="A10" s="311" t="s">
        <v>729</v>
      </c>
      <c r="B10" s="86">
        <v>1875</v>
      </c>
      <c r="C10" s="86">
        <v>3868</v>
      </c>
      <c r="D10" s="86">
        <v>8850</v>
      </c>
      <c r="E10" s="86">
        <v>14353</v>
      </c>
      <c r="F10" s="86">
        <v>8137</v>
      </c>
      <c r="G10" s="86">
        <v>7138</v>
      </c>
      <c r="H10" s="86">
        <v>1803</v>
      </c>
      <c r="I10" s="86">
        <v>1988</v>
      </c>
      <c r="J10" s="86">
        <v>7379</v>
      </c>
      <c r="K10" s="86">
        <v>433</v>
      </c>
      <c r="L10" s="86">
        <v>254</v>
      </c>
      <c r="M10" s="86">
        <v>849</v>
      </c>
      <c r="N10" s="804" t="s">
        <v>729</v>
      </c>
      <c r="O10" s="311" t="s">
        <v>729</v>
      </c>
      <c r="P10" s="86">
        <v>34</v>
      </c>
      <c r="Q10" s="86">
        <v>135</v>
      </c>
      <c r="R10" s="86">
        <v>163</v>
      </c>
      <c r="S10" s="86">
        <v>508</v>
      </c>
      <c r="T10" s="86">
        <v>37</v>
      </c>
      <c r="U10" s="86">
        <v>81</v>
      </c>
      <c r="V10" s="86">
        <v>51</v>
      </c>
      <c r="W10" s="86">
        <v>120</v>
      </c>
      <c r="X10" s="86">
        <v>1057</v>
      </c>
      <c r="Y10" s="86">
        <v>1427</v>
      </c>
      <c r="Z10" s="86">
        <v>14</v>
      </c>
      <c r="AA10" s="86">
        <v>86</v>
      </c>
      <c r="AB10" s="804" t="s">
        <v>729</v>
      </c>
    </row>
    <row r="11" spans="1:29" s="8" customFormat="1" ht="18.75" customHeight="1">
      <c r="A11" s="803" t="s">
        <v>730</v>
      </c>
      <c r="B11" s="802">
        <v>1617</v>
      </c>
      <c r="C11" s="802">
        <v>3519</v>
      </c>
      <c r="D11" s="802">
        <v>7736</v>
      </c>
      <c r="E11" s="802">
        <v>12762</v>
      </c>
      <c r="F11" s="802">
        <v>10552</v>
      </c>
      <c r="G11" s="802">
        <v>8715</v>
      </c>
      <c r="H11" s="802">
        <v>1988</v>
      </c>
      <c r="I11" s="802">
        <v>2180</v>
      </c>
      <c r="J11" s="802">
        <v>6951</v>
      </c>
      <c r="K11" s="802">
        <v>430</v>
      </c>
      <c r="L11" s="802">
        <v>253</v>
      </c>
      <c r="M11" s="802">
        <v>850</v>
      </c>
      <c r="N11" s="398" t="s">
        <v>730</v>
      </c>
      <c r="O11" s="803" t="s">
        <v>730</v>
      </c>
      <c r="P11" s="802">
        <v>34</v>
      </c>
      <c r="Q11" s="802">
        <v>137</v>
      </c>
      <c r="R11" s="802">
        <v>165</v>
      </c>
      <c r="S11" s="802">
        <v>508</v>
      </c>
      <c r="T11" s="802">
        <v>29</v>
      </c>
      <c r="U11" s="802">
        <v>78</v>
      </c>
      <c r="V11" s="802">
        <v>56</v>
      </c>
      <c r="W11" s="802">
        <v>120</v>
      </c>
      <c r="X11" s="802">
        <v>812</v>
      </c>
      <c r="Y11" s="802">
        <v>1181</v>
      </c>
      <c r="Z11" s="802" t="s">
        <v>785</v>
      </c>
      <c r="AA11" s="802" t="s">
        <v>785</v>
      </c>
      <c r="AB11" s="398" t="s">
        <v>730</v>
      </c>
    </row>
    <row r="12" spans="1:29" s="8" customFormat="1" ht="18.75" customHeight="1">
      <c r="A12" s="311" t="s">
        <v>731</v>
      </c>
      <c r="B12" s="86">
        <v>1734</v>
      </c>
      <c r="C12" s="86">
        <v>3339</v>
      </c>
      <c r="D12" s="86">
        <v>10305</v>
      </c>
      <c r="E12" s="86">
        <v>14097</v>
      </c>
      <c r="F12" s="86">
        <v>11027</v>
      </c>
      <c r="G12" s="86">
        <v>9024</v>
      </c>
      <c r="H12" s="86">
        <v>1840</v>
      </c>
      <c r="I12" s="86">
        <v>2057</v>
      </c>
      <c r="J12" s="86">
        <v>6910</v>
      </c>
      <c r="K12" s="86">
        <v>421</v>
      </c>
      <c r="L12" s="86">
        <v>249</v>
      </c>
      <c r="M12" s="86">
        <v>812</v>
      </c>
      <c r="N12" s="804" t="s">
        <v>731</v>
      </c>
      <c r="O12" s="311" t="s">
        <v>731</v>
      </c>
      <c r="P12" s="86">
        <v>36</v>
      </c>
      <c r="Q12" s="86">
        <v>136</v>
      </c>
      <c r="R12" s="86">
        <v>128</v>
      </c>
      <c r="S12" s="86">
        <v>412</v>
      </c>
      <c r="T12" s="86">
        <v>35</v>
      </c>
      <c r="U12" s="86">
        <v>88</v>
      </c>
      <c r="V12" s="86">
        <v>46</v>
      </c>
      <c r="W12" s="86">
        <v>120</v>
      </c>
      <c r="X12" s="86">
        <v>711</v>
      </c>
      <c r="Y12" s="86">
        <v>1008</v>
      </c>
      <c r="Z12" s="86" t="s">
        <v>785</v>
      </c>
      <c r="AA12" s="86" t="s">
        <v>785</v>
      </c>
      <c r="AB12" s="804" t="s">
        <v>731</v>
      </c>
    </row>
    <row r="13" spans="1:29" s="8" customFormat="1" ht="18.75" customHeight="1">
      <c r="A13" s="803" t="s">
        <v>732</v>
      </c>
      <c r="B13" s="802">
        <v>1916</v>
      </c>
      <c r="C13" s="802">
        <v>3275</v>
      </c>
      <c r="D13" s="802">
        <v>11249</v>
      </c>
      <c r="E13" s="802">
        <v>14110</v>
      </c>
      <c r="F13" s="802">
        <v>11921</v>
      </c>
      <c r="G13" s="802">
        <v>9296</v>
      </c>
      <c r="H13" s="802">
        <v>1673</v>
      </c>
      <c r="I13" s="802">
        <v>1909</v>
      </c>
      <c r="J13" s="802">
        <v>6742</v>
      </c>
      <c r="K13" s="802">
        <v>417</v>
      </c>
      <c r="L13" s="802">
        <v>238</v>
      </c>
      <c r="M13" s="802">
        <v>785</v>
      </c>
      <c r="N13" s="398" t="s">
        <v>732</v>
      </c>
      <c r="O13" s="803" t="s">
        <v>732</v>
      </c>
      <c r="P13" s="802">
        <v>34</v>
      </c>
      <c r="Q13" s="802">
        <v>130</v>
      </c>
      <c r="R13" s="802">
        <v>126</v>
      </c>
      <c r="S13" s="802">
        <v>406</v>
      </c>
      <c r="T13" s="802">
        <v>37</v>
      </c>
      <c r="U13" s="802">
        <v>74</v>
      </c>
      <c r="V13" s="802">
        <v>52</v>
      </c>
      <c r="W13" s="802">
        <v>120</v>
      </c>
      <c r="X13" s="802">
        <v>821</v>
      </c>
      <c r="Y13" s="802">
        <v>1107</v>
      </c>
      <c r="Z13" s="802">
        <v>27</v>
      </c>
      <c r="AA13" s="802">
        <v>40</v>
      </c>
      <c r="AB13" s="398" t="s">
        <v>732</v>
      </c>
    </row>
    <row r="14" spans="1:29" s="8" customFormat="1" ht="18.75" customHeight="1">
      <c r="A14" s="311" t="s">
        <v>733</v>
      </c>
      <c r="B14" s="86">
        <v>1808</v>
      </c>
      <c r="C14" s="86">
        <v>3069</v>
      </c>
      <c r="D14" s="86">
        <v>10726</v>
      </c>
      <c r="E14" s="86">
        <v>13955</v>
      </c>
      <c r="F14" s="86">
        <v>11766</v>
      </c>
      <c r="G14" s="86">
        <v>9319</v>
      </c>
      <c r="H14" s="86">
        <v>1606</v>
      </c>
      <c r="I14" s="86">
        <v>1833</v>
      </c>
      <c r="J14" s="86">
        <v>6502</v>
      </c>
      <c r="K14" s="86">
        <v>402</v>
      </c>
      <c r="L14" s="86">
        <v>233</v>
      </c>
      <c r="M14" s="86">
        <v>749</v>
      </c>
      <c r="N14" s="804" t="s">
        <v>733</v>
      </c>
      <c r="O14" s="311" t="s">
        <v>733</v>
      </c>
      <c r="P14" s="86">
        <v>34</v>
      </c>
      <c r="Q14" s="86">
        <v>112</v>
      </c>
      <c r="R14" s="86">
        <v>115</v>
      </c>
      <c r="S14" s="86">
        <v>388</v>
      </c>
      <c r="T14" s="86">
        <v>38</v>
      </c>
      <c r="U14" s="86">
        <v>75</v>
      </c>
      <c r="V14" s="86">
        <v>52</v>
      </c>
      <c r="W14" s="86">
        <v>122</v>
      </c>
      <c r="X14" s="86">
        <v>859</v>
      </c>
      <c r="Y14" s="86">
        <v>1128</v>
      </c>
      <c r="Z14" s="86">
        <v>30</v>
      </c>
      <c r="AA14" s="86">
        <v>42</v>
      </c>
      <c r="AB14" s="804" t="s">
        <v>733</v>
      </c>
    </row>
    <row r="15" spans="1:29" s="8" customFormat="1" ht="18.75" customHeight="1">
      <c r="A15" s="803" t="s">
        <v>734</v>
      </c>
      <c r="B15" s="802">
        <v>1850</v>
      </c>
      <c r="C15" s="802">
        <v>3073</v>
      </c>
      <c r="D15" s="802">
        <v>11115</v>
      </c>
      <c r="E15" s="802">
        <v>14041</v>
      </c>
      <c r="F15" s="802">
        <v>12222</v>
      </c>
      <c r="G15" s="802">
        <v>9501</v>
      </c>
      <c r="H15" s="802">
        <v>1507</v>
      </c>
      <c r="I15" s="802">
        <v>1746</v>
      </c>
      <c r="J15" s="802">
        <v>6838</v>
      </c>
      <c r="K15" s="802">
        <v>410</v>
      </c>
      <c r="L15" s="802">
        <v>218</v>
      </c>
      <c r="M15" s="802">
        <v>735</v>
      </c>
      <c r="N15" s="398" t="s">
        <v>734</v>
      </c>
      <c r="O15" s="803" t="s">
        <v>734</v>
      </c>
      <c r="P15" s="802">
        <v>30</v>
      </c>
      <c r="Q15" s="802">
        <v>109</v>
      </c>
      <c r="R15" s="802">
        <v>116</v>
      </c>
      <c r="S15" s="802">
        <v>381</v>
      </c>
      <c r="T15" s="802">
        <v>38</v>
      </c>
      <c r="U15" s="802">
        <v>75</v>
      </c>
      <c r="V15" s="802">
        <v>58</v>
      </c>
      <c r="W15" s="802">
        <v>126</v>
      </c>
      <c r="X15" s="802">
        <v>800</v>
      </c>
      <c r="Y15" s="802">
        <v>1079</v>
      </c>
      <c r="Z15" s="802">
        <v>24</v>
      </c>
      <c r="AA15" s="802">
        <v>38</v>
      </c>
      <c r="AB15" s="398" t="s">
        <v>734</v>
      </c>
    </row>
    <row r="16" spans="1:29" s="8" customFormat="1" ht="18.75" customHeight="1">
      <c r="A16" s="311" t="s">
        <v>735</v>
      </c>
      <c r="B16" s="86">
        <v>1832</v>
      </c>
      <c r="C16" s="86">
        <v>2971</v>
      </c>
      <c r="D16" s="86">
        <v>11521</v>
      </c>
      <c r="E16" s="86">
        <v>14030</v>
      </c>
      <c r="F16" s="86">
        <v>12837</v>
      </c>
      <c r="G16" s="86">
        <v>9745</v>
      </c>
      <c r="H16" s="86">
        <v>1253</v>
      </c>
      <c r="I16" s="86">
        <v>1586</v>
      </c>
      <c r="J16" s="86">
        <v>6484</v>
      </c>
      <c r="K16" s="86">
        <v>404</v>
      </c>
      <c r="L16" s="86">
        <v>211</v>
      </c>
      <c r="M16" s="86">
        <v>690</v>
      </c>
      <c r="N16" s="804" t="s">
        <v>735</v>
      </c>
      <c r="O16" s="311" t="s">
        <v>735</v>
      </c>
      <c r="P16" s="86">
        <v>30</v>
      </c>
      <c r="Q16" s="86">
        <v>108</v>
      </c>
      <c r="R16" s="86">
        <v>122</v>
      </c>
      <c r="S16" s="86">
        <v>382</v>
      </c>
      <c r="T16" s="86">
        <v>39</v>
      </c>
      <c r="U16" s="86">
        <v>75</v>
      </c>
      <c r="V16" s="86">
        <v>57</v>
      </c>
      <c r="W16" s="86">
        <v>126</v>
      </c>
      <c r="X16" s="86">
        <v>794</v>
      </c>
      <c r="Y16" s="86">
        <v>1008</v>
      </c>
      <c r="Z16" s="86">
        <v>78</v>
      </c>
      <c r="AA16" s="86">
        <v>38</v>
      </c>
      <c r="AB16" s="804" t="s">
        <v>735</v>
      </c>
    </row>
    <row r="17" spans="1:28" s="8" customFormat="1" ht="18.75" customHeight="1">
      <c r="A17" s="803" t="s">
        <v>736</v>
      </c>
      <c r="B17" s="802">
        <v>1500</v>
      </c>
      <c r="C17" s="802">
        <v>2532</v>
      </c>
      <c r="D17" s="802">
        <v>9820</v>
      </c>
      <c r="E17" s="802">
        <v>13047</v>
      </c>
      <c r="F17" s="802">
        <v>13837</v>
      </c>
      <c r="G17" s="802">
        <v>10042</v>
      </c>
      <c r="H17" s="802">
        <v>976</v>
      </c>
      <c r="I17" s="802">
        <v>1380</v>
      </c>
      <c r="J17" s="802">
        <v>6423</v>
      </c>
      <c r="K17" s="802">
        <v>388</v>
      </c>
      <c r="L17" s="802">
        <v>191</v>
      </c>
      <c r="M17" s="802">
        <v>597</v>
      </c>
      <c r="N17" s="398" t="s">
        <v>736</v>
      </c>
      <c r="O17" s="803" t="s">
        <v>736</v>
      </c>
      <c r="P17" s="802">
        <v>18</v>
      </c>
      <c r="Q17" s="802">
        <v>60</v>
      </c>
      <c r="R17" s="802">
        <v>121</v>
      </c>
      <c r="S17" s="802">
        <v>380</v>
      </c>
      <c r="T17" s="802">
        <v>38</v>
      </c>
      <c r="U17" s="802">
        <v>78</v>
      </c>
      <c r="V17" s="802">
        <v>58</v>
      </c>
      <c r="W17" s="802">
        <v>132</v>
      </c>
      <c r="X17" s="802">
        <v>1035</v>
      </c>
      <c r="Y17" s="802">
        <v>965</v>
      </c>
      <c r="Z17" s="802">
        <v>3</v>
      </c>
      <c r="AA17" s="802">
        <v>4</v>
      </c>
      <c r="AB17" s="398" t="s">
        <v>736</v>
      </c>
    </row>
    <row r="18" spans="1:28" s="8" customFormat="1" ht="18.75" customHeight="1">
      <c r="A18" s="311" t="s">
        <v>741</v>
      </c>
      <c r="B18" s="86">
        <v>1754</v>
      </c>
      <c r="C18" s="86">
        <v>2556</v>
      </c>
      <c r="D18" s="86">
        <v>10810</v>
      </c>
      <c r="E18" s="86">
        <v>13416</v>
      </c>
      <c r="F18" s="86">
        <v>13975</v>
      </c>
      <c r="G18" s="86">
        <v>10047</v>
      </c>
      <c r="H18" s="86">
        <v>735</v>
      </c>
      <c r="I18" s="86">
        <v>1184</v>
      </c>
      <c r="J18" s="86">
        <v>5511</v>
      </c>
      <c r="K18" s="86">
        <v>377</v>
      </c>
      <c r="L18" s="86">
        <v>183</v>
      </c>
      <c r="M18" s="86">
        <v>536</v>
      </c>
      <c r="N18" s="804" t="s">
        <v>741</v>
      </c>
      <c r="O18" s="588" t="s">
        <v>741</v>
      </c>
      <c r="P18" s="279">
        <v>17</v>
      </c>
      <c r="Q18" s="279">
        <v>55</v>
      </c>
      <c r="R18" s="279">
        <v>115</v>
      </c>
      <c r="S18" s="279">
        <v>333</v>
      </c>
      <c r="T18" s="279">
        <v>43</v>
      </c>
      <c r="U18" s="279">
        <v>78</v>
      </c>
      <c r="V18" s="279">
        <v>58</v>
      </c>
      <c r="W18" s="279">
        <v>130</v>
      </c>
      <c r="X18" s="280">
        <v>838</v>
      </c>
      <c r="Y18" s="280">
        <v>993</v>
      </c>
      <c r="Z18" s="279">
        <v>18</v>
      </c>
      <c r="AA18" s="279">
        <v>26</v>
      </c>
      <c r="AB18" s="327" t="s">
        <v>741</v>
      </c>
    </row>
    <row r="19" spans="1:28" s="8" customFormat="1" ht="18.75" customHeight="1">
      <c r="A19" s="803" t="s">
        <v>750</v>
      </c>
      <c r="B19" s="802">
        <v>1512</v>
      </c>
      <c r="C19" s="802">
        <v>2238</v>
      </c>
      <c r="D19" s="802">
        <v>10841</v>
      </c>
      <c r="E19" s="802">
        <v>13382</v>
      </c>
      <c r="F19" s="802">
        <v>14965</v>
      </c>
      <c r="G19" s="802">
        <v>10522</v>
      </c>
      <c r="H19" s="802">
        <v>737</v>
      </c>
      <c r="I19" s="802">
        <v>988</v>
      </c>
      <c r="J19" s="802">
        <v>5770</v>
      </c>
      <c r="K19" s="802">
        <v>371</v>
      </c>
      <c r="L19" s="802">
        <v>189</v>
      </c>
      <c r="M19" s="802">
        <v>520</v>
      </c>
      <c r="N19" s="398" t="s">
        <v>750</v>
      </c>
      <c r="O19" s="803" t="s">
        <v>750</v>
      </c>
      <c r="P19" s="802">
        <v>19</v>
      </c>
      <c r="Q19" s="802">
        <v>60</v>
      </c>
      <c r="R19" s="802">
        <v>117</v>
      </c>
      <c r="S19" s="802">
        <v>340</v>
      </c>
      <c r="T19" s="802">
        <v>39</v>
      </c>
      <c r="U19" s="802">
        <v>76</v>
      </c>
      <c r="V19" s="366">
        <v>58</v>
      </c>
      <c r="W19" s="366">
        <v>129</v>
      </c>
      <c r="X19" s="802">
        <v>879</v>
      </c>
      <c r="Y19" s="802">
        <v>1034</v>
      </c>
      <c r="Z19" s="802">
        <v>18</v>
      </c>
      <c r="AA19" s="802">
        <v>25</v>
      </c>
      <c r="AB19" s="398" t="s">
        <v>750</v>
      </c>
    </row>
    <row r="20" spans="1:28" s="9" customFormat="1" ht="18.75" customHeight="1">
      <c r="A20" s="588" t="s">
        <v>490</v>
      </c>
      <c r="B20" s="279">
        <v>1507</v>
      </c>
      <c r="C20" s="279">
        <v>2270</v>
      </c>
      <c r="D20" s="279">
        <v>9662</v>
      </c>
      <c r="E20" s="279">
        <v>12474</v>
      </c>
      <c r="F20" s="279">
        <v>17762</v>
      </c>
      <c r="G20" s="279">
        <v>11386</v>
      </c>
      <c r="H20" s="279">
        <v>844</v>
      </c>
      <c r="I20" s="279">
        <v>958</v>
      </c>
      <c r="J20" s="279">
        <v>4984</v>
      </c>
      <c r="K20" s="279">
        <v>320</v>
      </c>
      <c r="L20" s="280">
        <v>228</v>
      </c>
      <c r="M20" s="280">
        <v>577</v>
      </c>
      <c r="N20" s="327" t="s">
        <v>490</v>
      </c>
      <c r="O20" s="588" t="s">
        <v>490</v>
      </c>
      <c r="P20" s="279">
        <v>21</v>
      </c>
      <c r="Q20" s="279">
        <v>60</v>
      </c>
      <c r="R20" s="280">
        <v>72</v>
      </c>
      <c r="S20" s="280">
        <v>179</v>
      </c>
      <c r="T20" s="279">
        <v>40</v>
      </c>
      <c r="U20" s="279">
        <v>72</v>
      </c>
      <c r="V20" s="280">
        <v>59</v>
      </c>
      <c r="W20" s="280">
        <v>133</v>
      </c>
      <c r="X20" s="279">
        <v>832</v>
      </c>
      <c r="Y20" s="279">
        <v>1089</v>
      </c>
      <c r="Z20" s="280">
        <v>15</v>
      </c>
      <c r="AA20" s="280">
        <v>22</v>
      </c>
      <c r="AB20" s="327" t="s">
        <v>490</v>
      </c>
    </row>
    <row r="21" spans="1:28" s="9" customFormat="1" ht="18.75" customHeight="1">
      <c r="A21" s="803" t="s">
        <v>87</v>
      </c>
      <c r="B21" s="802">
        <v>1895</v>
      </c>
      <c r="C21" s="802">
        <v>2633</v>
      </c>
      <c r="D21" s="802">
        <v>11613</v>
      </c>
      <c r="E21" s="802">
        <v>13585</v>
      </c>
      <c r="F21" s="802">
        <v>17809</v>
      </c>
      <c r="G21" s="802">
        <v>11654</v>
      </c>
      <c r="H21" s="802">
        <v>849</v>
      </c>
      <c r="I21" s="802">
        <v>975</v>
      </c>
      <c r="J21" s="802">
        <v>5232</v>
      </c>
      <c r="K21" s="802">
        <v>312</v>
      </c>
      <c r="L21" s="802">
        <v>228</v>
      </c>
      <c r="M21" s="802">
        <v>578</v>
      </c>
      <c r="N21" s="398" t="s">
        <v>87</v>
      </c>
      <c r="O21" s="803" t="s">
        <v>87</v>
      </c>
      <c r="P21" s="802">
        <v>18</v>
      </c>
      <c r="Q21" s="802">
        <v>54</v>
      </c>
      <c r="R21" s="802">
        <v>61</v>
      </c>
      <c r="S21" s="802">
        <v>175</v>
      </c>
      <c r="T21" s="802">
        <v>40</v>
      </c>
      <c r="U21" s="802">
        <v>74</v>
      </c>
      <c r="V21" s="802">
        <v>59</v>
      </c>
      <c r="W21" s="802">
        <v>134</v>
      </c>
      <c r="X21" s="802">
        <v>842</v>
      </c>
      <c r="Y21" s="802">
        <v>1039</v>
      </c>
      <c r="Z21" s="802">
        <v>12</v>
      </c>
      <c r="AA21" s="802">
        <v>18</v>
      </c>
      <c r="AB21" s="398" t="s">
        <v>87</v>
      </c>
    </row>
    <row r="22" spans="1:28" s="9" customFormat="1" ht="18.75" customHeight="1">
      <c r="A22" s="588" t="s">
        <v>83</v>
      </c>
      <c r="B22" s="279">
        <v>1709</v>
      </c>
      <c r="C22" s="279">
        <v>2431</v>
      </c>
      <c r="D22" s="279">
        <v>12207</v>
      </c>
      <c r="E22" s="279">
        <v>13993</v>
      </c>
      <c r="F22" s="279">
        <v>18059</v>
      </c>
      <c r="G22" s="279">
        <v>11631</v>
      </c>
      <c r="H22" s="279">
        <v>901</v>
      </c>
      <c r="I22" s="279">
        <v>930</v>
      </c>
      <c r="J22" s="279">
        <v>4491</v>
      </c>
      <c r="K22" s="279">
        <v>290</v>
      </c>
      <c r="L22" s="279">
        <v>222</v>
      </c>
      <c r="M22" s="279">
        <v>608</v>
      </c>
      <c r="N22" s="327" t="s">
        <v>83</v>
      </c>
      <c r="O22" s="588" t="s">
        <v>83</v>
      </c>
      <c r="P22" s="279">
        <v>20</v>
      </c>
      <c r="Q22" s="279">
        <v>57</v>
      </c>
      <c r="R22" s="279">
        <v>71</v>
      </c>
      <c r="S22" s="279">
        <v>191</v>
      </c>
      <c r="T22" s="279">
        <v>55</v>
      </c>
      <c r="U22" s="279">
        <v>95</v>
      </c>
      <c r="V22" s="279">
        <v>68</v>
      </c>
      <c r="W22" s="279">
        <v>136</v>
      </c>
      <c r="X22" s="279">
        <v>916</v>
      </c>
      <c r="Y22" s="279">
        <v>1029</v>
      </c>
      <c r="Z22" s="279">
        <v>20</v>
      </c>
      <c r="AA22" s="279">
        <v>24</v>
      </c>
      <c r="AB22" s="327" t="s">
        <v>83</v>
      </c>
    </row>
    <row r="23" spans="1:28" s="8" customFormat="1" ht="18.75" customHeight="1">
      <c r="A23" s="803" t="s">
        <v>225</v>
      </c>
      <c r="B23" s="802">
        <v>2133</v>
      </c>
      <c r="C23" s="802">
        <v>2750</v>
      </c>
      <c r="D23" s="366">
        <v>12792</v>
      </c>
      <c r="E23" s="366">
        <v>13951</v>
      </c>
      <c r="F23" s="366">
        <v>18617</v>
      </c>
      <c r="G23" s="366">
        <v>11788</v>
      </c>
      <c r="H23" s="366">
        <v>972</v>
      </c>
      <c r="I23" s="366">
        <v>923</v>
      </c>
      <c r="J23" s="366">
        <v>4671</v>
      </c>
      <c r="K23" s="366">
        <v>287</v>
      </c>
      <c r="L23" s="366">
        <v>246</v>
      </c>
      <c r="M23" s="366">
        <v>623</v>
      </c>
      <c r="N23" s="439" t="s">
        <v>225</v>
      </c>
      <c r="O23" s="399" t="s">
        <v>225</v>
      </c>
      <c r="P23" s="366">
        <v>19</v>
      </c>
      <c r="Q23" s="366">
        <v>68</v>
      </c>
      <c r="R23" s="366">
        <v>80</v>
      </c>
      <c r="S23" s="366">
        <v>205</v>
      </c>
      <c r="T23" s="366">
        <v>79</v>
      </c>
      <c r="U23" s="366">
        <v>121</v>
      </c>
      <c r="V23" s="366">
        <v>61</v>
      </c>
      <c r="W23" s="366">
        <v>140</v>
      </c>
      <c r="X23" s="366">
        <v>1511</v>
      </c>
      <c r="Y23" s="366">
        <v>1751</v>
      </c>
      <c r="Z23" s="366">
        <v>14</v>
      </c>
      <c r="AA23" s="366">
        <v>24</v>
      </c>
      <c r="AB23" s="439" t="s">
        <v>225</v>
      </c>
    </row>
    <row r="24" spans="1:28" s="8" customFormat="1" ht="18.75" customHeight="1">
      <c r="A24" s="588" t="s">
        <v>972</v>
      </c>
      <c r="B24" s="279">
        <v>2332</v>
      </c>
      <c r="C24" s="279">
        <v>2812</v>
      </c>
      <c r="D24" s="324">
        <v>12798</v>
      </c>
      <c r="E24" s="324">
        <v>13789</v>
      </c>
      <c r="F24" s="324">
        <v>18759</v>
      </c>
      <c r="G24" s="324">
        <v>11886</v>
      </c>
      <c r="H24" s="324">
        <v>995</v>
      </c>
      <c r="I24" s="324">
        <v>885</v>
      </c>
      <c r="J24" s="324">
        <v>4603</v>
      </c>
      <c r="K24" s="324">
        <v>279</v>
      </c>
      <c r="L24" s="324">
        <v>262</v>
      </c>
      <c r="M24" s="324">
        <v>682</v>
      </c>
      <c r="N24" s="474" t="s">
        <v>972</v>
      </c>
      <c r="O24" s="322" t="s">
        <v>972</v>
      </c>
      <c r="P24" s="324">
        <v>26</v>
      </c>
      <c r="Q24" s="324">
        <v>91</v>
      </c>
      <c r="R24" s="324">
        <v>80</v>
      </c>
      <c r="S24" s="324">
        <v>213</v>
      </c>
      <c r="T24" s="324">
        <v>85</v>
      </c>
      <c r="U24" s="324">
        <v>126</v>
      </c>
      <c r="V24" s="324">
        <v>61</v>
      </c>
      <c r="W24" s="324">
        <v>143</v>
      </c>
      <c r="X24" s="324">
        <v>1441</v>
      </c>
      <c r="Y24" s="324">
        <v>1878</v>
      </c>
      <c r="Z24" s="324">
        <v>16</v>
      </c>
      <c r="AA24" s="324">
        <v>25</v>
      </c>
      <c r="AB24" s="474" t="s">
        <v>972</v>
      </c>
    </row>
    <row r="25" spans="1:28" s="8" customFormat="1" ht="18.75" customHeight="1">
      <c r="A25" s="803" t="s">
        <v>1107</v>
      </c>
      <c r="B25" s="802">
        <v>2158</v>
      </c>
      <c r="C25" s="802">
        <v>2602</v>
      </c>
      <c r="D25" s="366">
        <v>12897</v>
      </c>
      <c r="E25" s="366">
        <v>13863</v>
      </c>
      <c r="F25" s="366">
        <v>18778</v>
      </c>
      <c r="G25" s="366">
        <v>11763</v>
      </c>
      <c r="H25" s="366">
        <v>1255</v>
      </c>
      <c r="I25" s="366">
        <v>1029</v>
      </c>
      <c r="J25" s="366">
        <v>4469</v>
      </c>
      <c r="K25" s="366">
        <v>270</v>
      </c>
      <c r="L25" s="366">
        <v>294</v>
      </c>
      <c r="M25" s="366">
        <v>728</v>
      </c>
      <c r="N25" s="439" t="s">
        <v>1107</v>
      </c>
      <c r="O25" s="399" t="s">
        <v>1107</v>
      </c>
      <c r="P25" s="366">
        <v>25</v>
      </c>
      <c r="Q25" s="366">
        <v>87</v>
      </c>
      <c r="R25" s="366">
        <v>93</v>
      </c>
      <c r="S25" s="366">
        <v>222</v>
      </c>
      <c r="T25" s="366">
        <v>79</v>
      </c>
      <c r="U25" s="366">
        <v>119</v>
      </c>
      <c r="V25" s="366">
        <v>63</v>
      </c>
      <c r="W25" s="366">
        <v>144</v>
      </c>
      <c r="X25" s="366">
        <v>1370</v>
      </c>
      <c r="Y25" s="366">
        <v>1683</v>
      </c>
      <c r="Z25" s="366">
        <v>20</v>
      </c>
      <c r="AA25" s="366">
        <v>31</v>
      </c>
      <c r="AB25" s="439" t="s">
        <v>1107</v>
      </c>
    </row>
    <row r="26" spans="1:28" s="8" customFormat="1" ht="18.75" customHeight="1">
      <c r="A26" s="588" t="s">
        <v>1347</v>
      </c>
      <c r="B26" s="279">
        <v>2326</v>
      </c>
      <c r="C26" s="279">
        <v>2598</v>
      </c>
      <c r="D26" s="324">
        <v>13023</v>
      </c>
      <c r="E26" s="324">
        <v>13666</v>
      </c>
      <c r="F26" s="324">
        <v>19007</v>
      </c>
      <c r="G26" s="324">
        <v>11837</v>
      </c>
      <c r="H26" s="324">
        <v>1303</v>
      </c>
      <c r="I26" s="324">
        <v>1062</v>
      </c>
      <c r="J26" s="324">
        <v>4508</v>
      </c>
      <c r="K26" s="324">
        <v>265</v>
      </c>
      <c r="L26" s="324">
        <v>296</v>
      </c>
      <c r="M26" s="324">
        <v>724</v>
      </c>
      <c r="N26" s="474" t="s">
        <v>1347</v>
      </c>
      <c r="O26" s="322" t="s">
        <v>1347</v>
      </c>
      <c r="P26" s="324">
        <v>32</v>
      </c>
      <c r="Q26" s="324">
        <v>97</v>
      </c>
      <c r="R26" s="324">
        <v>157</v>
      </c>
      <c r="S26" s="324">
        <v>308</v>
      </c>
      <c r="T26" s="324">
        <v>85</v>
      </c>
      <c r="U26" s="324">
        <v>124</v>
      </c>
      <c r="V26" s="324">
        <v>67</v>
      </c>
      <c r="W26" s="324">
        <v>148</v>
      </c>
      <c r="X26" s="324">
        <v>1338</v>
      </c>
      <c r="Y26" s="324">
        <v>1645</v>
      </c>
      <c r="Z26" s="324">
        <v>19</v>
      </c>
      <c r="AA26" s="324">
        <v>28</v>
      </c>
      <c r="AB26" s="474" t="s">
        <v>1347</v>
      </c>
    </row>
    <row r="27" spans="1:28" s="8" customFormat="1" ht="18.75" customHeight="1">
      <c r="A27" s="816" t="s">
        <v>1406</v>
      </c>
      <c r="B27" s="815">
        <v>2328</v>
      </c>
      <c r="C27" s="815">
        <v>2583</v>
      </c>
      <c r="D27" s="366">
        <v>13190</v>
      </c>
      <c r="E27" s="366">
        <v>13665</v>
      </c>
      <c r="F27" s="366">
        <v>19192</v>
      </c>
      <c r="G27" s="366">
        <v>11961</v>
      </c>
      <c r="H27" s="366">
        <v>1348</v>
      </c>
      <c r="I27" s="366">
        <v>1079</v>
      </c>
      <c r="J27" s="366">
        <v>4434</v>
      </c>
      <c r="K27" s="366">
        <v>257</v>
      </c>
      <c r="L27" s="366">
        <v>359</v>
      </c>
      <c r="M27" s="366">
        <v>803</v>
      </c>
      <c r="N27" s="398" t="s">
        <v>1406</v>
      </c>
      <c r="O27" s="816" t="s">
        <v>1406</v>
      </c>
      <c r="P27" s="366">
        <v>33</v>
      </c>
      <c r="Q27" s="366">
        <v>96</v>
      </c>
      <c r="R27" s="366">
        <v>167</v>
      </c>
      <c r="S27" s="366">
        <v>359</v>
      </c>
      <c r="T27" s="366">
        <v>94</v>
      </c>
      <c r="U27" s="366">
        <v>127</v>
      </c>
      <c r="V27" s="366">
        <v>66</v>
      </c>
      <c r="W27" s="366">
        <v>149</v>
      </c>
      <c r="X27" s="366">
        <v>1350</v>
      </c>
      <c r="Y27" s="366">
        <v>1662</v>
      </c>
      <c r="Z27" s="366">
        <v>30</v>
      </c>
      <c r="AA27" s="366">
        <v>33</v>
      </c>
      <c r="AB27" s="398" t="s">
        <v>1406</v>
      </c>
    </row>
    <row r="28" spans="1:28" s="8" customFormat="1" ht="18.75" customHeight="1">
      <c r="A28" s="838" t="s">
        <v>1560</v>
      </c>
      <c r="B28" s="279">
        <v>2289</v>
      </c>
      <c r="C28" s="279">
        <v>2516</v>
      </c>
      <c r="D28" s="324">
        <v>13483</v>
      </c>
      <c r="E28" s="324">
        <v>13814</v>
      </c>
      <c r="F28" s="324">
        <v>18938</v>
      </c>
      <c r="G28" s="324">
        <v>11794</v>
      </c>
      <c r="H28" s="324">
        <v>1348</v>
      </c>
      <c r="I28" s="324">
        <v>1099</v>
      </c>
      <c r="J28" s="279">
        <v>4207</v>
      </c>
      <c r="K28" s="279">
        <v>243</v>
      </c>
      <c r="L28" s="279">
        <v>362</v>
      </c>
      <c r="M28" s="279">
        <v>787</v>
      </c>
      <c r="N28" s="327" t="s">
        <v>1560</v>
      </c>
      <c r="O28" s="838" t="s">
        <v>1560</v>
      </c>
      <c r="P28" s="279">
        <v>37</v>
      </c>
      <c r="Q28" s="279">
        <v>101</v>
      </c>
      <c r="R28" s="279">
        <v>158</v>
      </c>
      <c r="S28" s="279">
        <v>382</v>
      </c>
      <c r="T28" s="279">
        <v>88</v>
      </c>
      <c r="U28" s="279">
        <v>115</v>
      </c>
      <c r="V28" s="279">
        <v>64</v>
      </c>
      <c r="W28" s="279">
        <v>148</v>
      </c>
      <c r="X28" s="324">
        <v>1361</v>
      </c>
      <c r="Y28" s="324">
        <v>1675</v>
      </c>
      <c r="Z28" s="279">
        <v>33</v>
      </c>
      <c r="AA28" s="279">
        <v>34</v>
      </c>
      <c r="AB28" s="327" t="s">
        <v>1560</v>
      </c>
    </row>
    <row r="29" spans="1:28" s="8" customFormat="1" ht="18.75" customHeight="1">
      <c r="A29" s="954" t="s">
        <v>1596</v>
      </c>
      <c r="B29" s="953">
        <v>2134</v>
      </c>
      <c r="C29" s="953">
        <v>2327</v>
      </c>
      <c r="D29" s="366">
        <v>13656</v>
      </c>
      <c r="E29" s="366">
        <v>13797</v>
      </c>
      <c r="F29" s="366">
        <v>18014</v>
      </c>
      <c r="G29" s="366">
        <v>11060</v>
      </c>
      <c r="H29" s="366">
        <v>1311</v>
      </c>
      <c r="I29" s="366">
        <v>1026</v>
      </c>
      <c r="J29" s="953">
        <v>3862</v>
      </c>
      <c r="K29" s="953">
        <v>227</v>
      </c>
      <c r="L29" s="953">
        <v>363</v>
      </c>
      <c r="M29" s="953">
        <v>831</v>
      </c>
      <c r="N29" s="398" t="s">
        <v>1596</v>
      </c>
      <c r="O29" s="954" t="s">
        <v>1596</v>
      </c>
      <c r="P29" s="953">
        <v>35</v>
      </c>
      <c r="Q29" s="953">
        <v>102</v>
      </c>
      <c r="R29" s="953">
        <v>169</v>
      </c>
      <c r="S29" s="953">
        <v>382</v>
      </c>
      <c r="T29" s="953">
        <v>91</v>
      </c>
      <c r="U29" s="953">
        <v>113</v>
      </c>
      <c r="V29" s="953">
        <v>82</v>
      </c>
      <c r="W29" s="953">
        <v>133</v>
      </c>
      <c r="X29" s="366">
        <v>1484</v>
      </c>
      <c r="Y29" s="366">
        <v>1823</v>
      </c>
      <c r="Z29" s="953">
        <v>31</v>
      </c>
      <c r="AA29" s="953">
        <v>32</v>
      </c>
      <c r="AB29" s="398" t="s">
        <v>1596</v>
      </c>
    </row>
    <row r="30" spans="1:28" s="213" customFormat="1" ht="18.75" customHeight="1">
      <c r="A30" s="1061" t="s">
        <v>1756</v>
      </c>
      <c r="B30" s="279">
        <v>2710</v>
      </c>
      <c r="C30" s="279">
        <v>2657</v>
      </c>
      <c r="D30" s="324">
        <v>13993</v>
      </c>
      <c r="E30" s="324">
        <v>14035</v>
      </c>
      <c r="F30" s="324">
        <v>19576</v>
      </c>
      <c r="G30" s="324">
        <v>12008</v>
      </c>
      <c r="H30" s="324">
        <v>1099</v>
      </c>
      <c r="I30" s="324">
        <v>868</v>
      </c>
      <c r="J30" s="279">
        <v>3639</v>
      </c>
      <c r="K30" s="279">
        <v>223</v>
      </c>
      <c r="L30" s="279">
        <v>352</v>
      </c>
      <c r="M30" s="279">
        <v>760</v>
      </c>
      <c r="N30" s="327" t="s">
        <v>1756</v>
      </c>
      <c r="O30" s="1061" t="s">
        <v>1756</v>
      </c>
      <c r="P30" s="279">
        <v>34</v>
      </c>
      <c r="Q30" s="279">
        <v>93</v>
      </c>
      <c r="R30" s="279">
        <v>177</v>
      </c>
      <c r="S30" s="279">
        <v>386</v>
      </c>
      <c r="T30" s="279">
        <v>89</v>
      </c>
      <c r="U30" s="279">
        <v>105</v>
      </c>
      <c r="V30" s="279">
        <v>78</v>
      </c>
      <c r="W30" s="279">
        <v>133</v>
      </c>
      <c r="X30" s="324">
        <v>1601</v>
      </c>
      <c r="Y30" s="324">
        <v>1874</v>
      </c>
      <c r="Z30" s="279">
        <v>31</v>
      </c>
      <c r="AA30" s="279">
        <v>32</v>
      </c>
      <c r="AB30" s="327" t="s">
        <v>1756</v>
      </c>
    </row>
    <row r="31" spans="1:28" s="213" customFormat="1" ht="18.75" customHeight="1">
      <c r="A31" s="1476" t="s">
        <v>1904</v>
      </c>
      <c r="B31" s="953">
        <v>2775</v>
      </c>
      <c r="C31" s="953">
        <v>2731</v>
      </c>
      <c r="D31" s="366">
        <v>14055</v>
      </c>
      <c r="E31" s="366">
        <v>13892</v>
      </c>
      <c r="F31" s="366">
        <v>19561</v>
      </c>
      <c r="G31" s="366">
        <v>11832</v>
      </c>
      <c r="H31" s="366">
        <v>1017</v>
      </c>
      <c r="I31" s="366">
        <v>816</v>
      </c>
      <c r="J31" s="953">
        <v>3142</v>
      </c>
      <c r="K31" s="953">
        <v>200</v>
      </c>
      <c r="L31" s="953">
        <v>312</v>
      </c>
      <c r="M31" s="953">
        <v>667</v>
      </c>
      <c r="N31" s="398" t="s">
        <v>1904</v>
      </c>
      <c r="O31" s="1476" t="s">
        <v>1904</v>
      </c>
      <c r="P31" s="953">
        <v>34</v>
      </c>
      <c r="Q31" s="953">
        <v>102</v>
      </c>
      <c r="R31" s="953">
        <v>175</v>
      </c>
      <c r="S31" s="953">
        <v>352</v>
      </c>
      <c r="T31" s="953">
        <v>129</v>
      </c>
      <c r="U31" s="953">
        <v>147</v>
      </c>
      <c r="V31" s="953">
        <v>91</v>
      </c>
      <c r="W31" s="953">
        <v>133</v>
      </c>
      <c r="X31" s="366">
        <v>1544</v>
      </c>
      <c r="Y31" s="366">
        <v>1852</v>
      </c>
      <c r="Z31" s="953">
        <v>19</v>
      </c>
      <c r="AA31" s="953">
        <v>31</v>
      </c>
      <c r="AB31" s="398" t="s">
        <v>1904</v>
      </c>
    </row>
    <row r="32" spans="1:28" s="213" customFormat="1" ht="18.75" customHeight="1" thickBot="1">
      <c r="A32" s="571" t="s">
        <v>2517</v>
      </c>
      <c r="B32" s="1386">
        <v>2755</v>
      </c>
      <c r="C32" s="1386">
        <v>2706</v>
      </c>
      <c r="D32" s="565">
        <v>14203</v>
      </c>
      <c r="E32" s="565">
        <v>13739</v>
      </c>
      <c r="F32" s="565">
        <v>19645</v>
      </c>
      <c r="G32" s="565">
        <v>11768</v>
      </c>
      <c r="H32" s="565">
        <v>1029</v>
      </c>
      <c r="I32" s="565">
        <v>821</v>
      </c>
      <c r="J32" s="1386">
        <v>3683</v>
      </c>
      <c r="K32" s="1386">
        <v>213</v>
      </c>
      <c r="L32" s="1386">
        <v>358</v>
      </c>
      <c r="M32" s="1386">
        <v>763</v>
      </c>
      <c r="N32" s="1387" t="s">
        <v>2517</v>
      </c>
      <c r="O32" s="571" t="s">
        <v>2517</v>
      </c>
      <c r="P32" s="1386">
        <v>37</v>
      </c>
      <c r="Q32" s="1386">
        <v>109</v>
      </c>
      <c r="R32" s="1386">
        <v>177</v>
      </c>
      <c r="S32" s="1386">
        <v>349</v>
      </c>
      <c r="T32" s="1386">
        <v>86</v>
      </c>
      <c r="U32" s="1386">
        <v>100</v>
      </c>
      <c r="V32" s="1386">
        <v>90</v>
      </c>
      <c r="W32" s="1386">
        <v>147</v>
      </c>
      <c r="X32" s="565">
        <v>1448</v>
      </c>
      <c r="Y32" s="565">
        <v>1679</v>
      </c>
      <c r="Z32" s="1386">
        <v>98</v>
      </c>
      <c r="AA32" s="1386">
        <v>30</v>
      </c>
      <c r="AB32" s="1387" t="s">
        <v>2517</v>
      </c>
    </row>
    <row r="33" spans="1:27" ht="12.75" customHeight="1">
      <c r="A33" s="2047" t="s">
        <v>1643</v>
      </c>
      <c r="B33" s="2047"/>
      <c r="C33" s="2047"/>
      <c r="D33" s="2047"/>
      <c r="E33" s="2047"/>
      <c r="F33" s="2038"/>
      <c r="G33" s="2038"/>
      <c r="H33" s="2038" t="s">
        <v>2542</v>
      </c>
      <c r="I33" s="2038"/>
      <c r="J33" s="2038"/>
      <c r="K33" s="2038"/>
      <c r="L33" s="2038"/>
      <c r="M33" s="2038"/>
      <c r="O33" s="2039" t="s">
        <v>1644</v>
      </c>
      <c r="P33" s="2039"/>
      <c r="Q33" s="2039"/>
      <c r="R33" s="2039"/>
      <c r="S33" s="2039"/>
      <c r="T33" s="2039"/>
      <c r="U33" s="2039"/>
      <c r="V33" s="2039" t="s">
        <v>2542</v>
      </c>
      <c r="W33" s="2039"/>
      <c r="X33" s="2039"/>
      <c r="Y33" s="2039"/>
      <c r="Z33" s="2039"/>
      <c r="AA33" s="2039"/>
    </row>
    <row r="34" spans="1:27">
      <c r="A34" s="310"/>
      <c r="B34" s="7" t="s">
        <v>2126</v>
      </c>
      <c r="C34" s="7"/>
      <c r="E34" s="7"/>
      <c r="U34" s="90"/>
    </row>
    <row r="35" spans="1:27" hidden="1"/>
    <row r="36" spans="1:27" hidden="1">
      <c r="X36" s="2">
        <v>7501011</v>
      </c>
      <c r="Y36" s="2">
        <f>X36*180/1000000</f>
        <v>1350.1819800000001</v>
      </c>
    </row>
    <row r="37" spans="1:27" hidden="1">
      <c r="X37" s="2">
        <v>7558934</v>
      </c>
      <c r="Y37" s="2">
        <f>X37*180/1000000</f>
        <v>1360.6081200000001</v>
      </c>
    </row>
    <row r="38" spans="1:27" hidden="1"/>
    <row r="39" spans="1:27" hidden="1"/>
    <row r="40" spans="1:27" hidden="1"/>
    <row r="41" spans="1:27" hidden="1"/>
    <row r="42" spans="1:27" hidden="1"/>
    <row r="43" spans="1:27">
      <c r="B43" s="68"/>
      <c r="F43" s="1391"/>
    </row>
    <row r="44" spans="1:27">
      <c r="H44" s="1391"/>
      <c r="J44" s="1391"/>
      <c r="Q44" s="2" t="s">
        <v>834</v>
      </c>
      <c r="T44" s="1391"/>
      <c r="W44" s="1391"/>
    </row>
  </sheetData>
  <mergeCells count="52">
    <mergeCell ref="A33:E33"/>
    <mergeCell ref="O33:U33"/>
    <mergeCell ref="N3:N5"/>
    <mergeCell ref="L3:M3"/>
    <mergeCell ref="R3:S3"/>
    <mergeCell ref="O3:O5"/>
    <mergeCell ref="A3:A5"/>
    <mergeCell ref="P3:Q3"/>
    <mergeCell ref="B4:B5"/>
    <mergeCell ref="H4:H5"/>
    <mergeCell ref="C4:C5"/>
    <mergeCell ref="D4:D5"/>
    <mergeCell ref="E4:E5"/>
    <mergeCell ref="F4:F5"/>
    <mergeCell ref="J4:J5"/>
    <mergeCell ref="G4:G5"/>
    <mergeCell ref="B3:C3"/>
    <mergeCell ref="D3:E3"/>
    <mergeCell ref="H3:I3"/>
    <mergeCell ref="J3:K3"/>
    <mergeCell ref="M1:N1"/>
    <mergeCell ref="A1:G1"/>
    <mergeCell ref="F3:G3"/>
    <mergeCell ref="F33:G33"/>
    <mergeCell ref="K33:M33"/>
    <mergeCell ref="H33:J33"/>
    <mergeCell ref="V33:AA33"/>
    <mergeCell ref="AA1:AB1"/>
    <mergeCell ref="O1:U1"/>
    <mergeCell ref="V1:Y1"/>
    <mergeCell ref="AB3:AB5"/>
    <mergeCell ref="T3:U3"/>
    <mergeCell ref="V3:W3"/>
    <mergeCell ref="X3:Y3"/>
    <mergeCell ref="Z3:AA3"/>
    <mergeCell ref="W4:W5"/>
    <mergeCell ref="H1:K1"/>
    <mergeCell ref="AA4:AA5"/>
    <mergeCell ref="Q4:Q5"/>
    <mergeCell ref="I4:I5"/>
    <mergeCell ref="X4:X5"/>
    <mergeCell ref="Y4:Y5"/>
    <mergeCell ref="Z4:Z5"/>
    <mergeCell ref="V4:V5"/>
    <mergeCell ref="R4:R5"/>
    <mergeCell ref="S4:S5"/>
    <mergeCell ref="T4:T5"/>
    <mergeCell ref="U4:U5"/>
    <mergeCell ref="K4:K5"/>
    <mergeCell ref="L4:L5"/>
    <mergeCell ref="M4:M5"/>
    <mergeCell ref="P4:P5"/>
  </mergeCells>
  <phoneticPr fontId="4" type="noConversion"/>
  <pageMargins left="0.62992125984252001" right="0.511811023622047" top="0.511811023622047" bottom="0.511811023622047" header="0" footer="0.74803149606299202"/>
  <pageSetup paperSize="448" firstPageNumber="36" orientation="portrait" useFirstPageNumber="1" r:id="rId1"/>
  <headerFooter alignWithMargins="0">
    <oddFooter>&amp;C&amp;"Times New Roman,Regular"&amp;8&amp;P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7"/>
  <dimension ref="A1:Q63"/>
  <sheetViews>
    <sheetView zoomScale="172" zoomScaleNormal="172" workbookViewId="0">
      <pane xSplit="1" ySplit="4" topLeftCell="B50" activePane="bottomRight" state="frozen"/>
      <selection activeCell="F85" sqref="F85"/>
      <selection pane="topRight" activeCell="F85" sqref="F85"/>
      <selection pane="bottomLeft" activeCell="F85" sqref="F85"/>
      <selection pane="bottomRight" activeCell="G61" sqref="G61"/>
    </sheetView>
  </sheetViews>
  <sheetFormatPr defaultColWidth="5.85546875" defaultRowHeight="9"/>
  <cols>
    <col min="1" max="1" width="11.140625" style="285" customWidth="1"/>
    <col min="2" max="2" width="10.7109375" style="285" customWidth="1"/>
    <col min="3" max="3" width="11.85546875" style="285" customWidth="1"/>
    <col min="4" max="4" width="10.5703125" style="285" customWidth="1"/>
    <col min="5" max="5" width="10.140625" style="285" customWidth="1"/>
    <col min="6" max="6" width="12.7109375" style="285" customWidth="1"/>
    <col min="7" max="7" width="10" style="285" customWidth="1"/>
    <col min="8" max="8" width="11.5703125" style="285" customWidth="1"/>
    <col min="9" max="9" width="10" style="285" customWidth="1"/>
    <col min="10" max="10" width="9.7109375" style="285" customWidth="1"/>
    <col min="11" max="11" width="10.42578125" style="285" customWidth="1"/>
    <col min="12" max="12" width="8.85546875" style="285" customWidth="1"/>
    <col min="13" max="13" width="9" style="285" customWidth="1"/>
    <col min="14" max="14" width="9.28515625" style="285" customWidth="1"/>
    <col min="15" max="15" width="10" style="285" customWidth="1"/>
    <col min="16" max="16" width="5.85546875" style="285"/>
    <col min="17" max="17" width="6.140625" style="285" bestFit="1" customWidth="1"/>
    <col min="18" max="16384" width="5.85546875" style="285"/>
  </cols>
  <sheetData>
    <row r="1" spans="1:15" s="215" customFormat="1" ht="14.25" customHeight="1">
      <c r="C1" s="1861" t="s">
        <v>139</v>
      </c>
      <c r="D1" s="1861"/>
      <c r="E1" s="1861"/>
      <c r="F1" s="1861"/>
      <c r="G1" s="1861"/>
      <c r="H1" s="573" t="s">
        <v>131</v>
      </c>
      <c r="I1" s="573"/>
      <c r="J1" s="573"/>
      <c r="K1" s="574"/>
      <c r="L1" s="574"/>
      <c r="M1" s="574"/>
      <c r="N1" s="1861" t="s">
        <v>1444</v>
      </c>
      <c r="O1" s="1861"/>
    </row>
    <row r="2" spans="1:15" s="218" customFormat="1" ht="12.75" customHeight="1">
      <c r="G2" s="1454" t="s">
        <v>172</v>
      </c>
      <c r="H2" s="2053" t="s">
        <v>171</v>
      </c>
      <c r="I2" s="2053"/>
      <c r="J2" s="2053"/>
    </row>
    <row r="3" spans="1:15" s="220" customFormat="1" ht="26.25" customHeight="1">
      <c r="A3" s="2049" t="s">
        <v>663</v>
      </c>
      <c r="B3" s="1448" t="s">
        <v>757</v>
      </c>
      <c r="C3" s="1448" t="s">
        <v>758</v>
      </c>
      <c r="D3" s="1450" t="s">
        <v>678</v>
      </c>
      <c r="E3" s="1450" t="s">
        <v>759</v>
      </c>
      <c r="F3" s="1450" t="s">
        <v>679</v>
      </c>
      <c r="G3" s="1448" t="s">
        <v>284</v>
      </c>
      <c r="H3" s="1449" t="s">
        <v>283</v>
      </c>
      <c r="I3" s="1450" t="s">
        <v>790</v>
      </c>
      <c r="J3" s="1450" t="s">
        <v>760</v>
      </c>
      <c r="K3" s="1450" t="s">
        <v>681</v>
      </c>
      <c r="L3" s="1448" t="s">
        <v>282</v>
      </c>
      <c r="M3" s="1448" t="s">
        <v>1678</v>
      </c>
      <c r="N3" s="1450" t="s">
        <v>682</v>
      </c>
      <c r="O3" s="2054" t="s">
        <v>663</v>
      </c>
    </row>
    <row r="4" spans="1:15" s="220" customFormat="1" ht="25.5" customHeight="1">
      <c r="A4" s="2049"/>
      <c r="B4" s="1448" t="s">
        <v>1213</v>
      </c>
      <c r="C4" s="1448" t="s">
        <v>1212</v>
      </c>
      <c r="D4" s="1448" t="s">
        <v>1214</v>
      </c>
      <c r="E4" s="1448" t="s">
        <v>1214</v>
      </c>
      <c r="F4" s="1448" t="s">
        <v>1215</v>
      </c>
      <c r="G4" s="1448" t="s">
        <v>1216</v>
      </c>
      <c r="H4" s="1449" t="s">
        <v>1219</v>
      </c>
      <c r="I4" s="1448" t="s">
        <v>1216</v>
      </c>
      <c r="J4" s="1448" t="s">
        <v>1216</v>
      </c>
      <c r="K4" s="1448" t="s">
        <v>1218</v>
      </c>
      <c r="L4" s="576" t="s">
        <v>271</v>
      </c>
      <c r="M4" s="1448" t="s">
        <v>1216</v>
      </c>
      <c r="N4" s="1448" t="s">
        <v>1217</v>
      </c>
      <c r="O4" s="1983"/>
    </row>
    <row r="5" spans="1:15" s="213" customFormat="1" ht="11.1" customHeight="1">
      <c r="A5" s="211" t="s">
        <v>83</v>
      </c>
      <c r="B5" s="183">
        <v>1006.35</v>
      </c>
      <c r="C5" s="35">
        <v>52975</v>
      </c>
      <c r="D5" s="35">
        <v>18676</v>
      </c>
      <c r="E5" s="35" t="s">
        <v>430</v>
      </c>
      <c r="F5" s="35">
        <v>236790</v>
      </c>
      <c r="G5" s="35">
        <v>76918</v>
      </c>
      <c r="H5" s="324">
        <v>156528</v>
      </c>
      <c r="I5" s="324">
        <v>62203</v>
      </c>
      <c r="J5" s="324">
        <v>1138644</v>
      </c>
      <c r="K5" s="324" t="s">
        <v>430</v>
      </c>
      <c r="L5" s="324">
        <v>2021</v>
      </c>
      <c r="M5" s="324" t="s">
        <v>430</v>
      </c>
      <c r="N5" s="324">
        <v>13330</v>
      </c>
      <c r="O5" s="270" t="s">
        <v>83</v>
      </c>
    </row>
    <row r="6" spans="1:15" s="211" customFormat="1" ht="11.1" customHeight="1">
      <c r="A6" s="376" t="s">
        <v>225</v>
      </c>
      <c r="B6" s="373">
        <v>1030</v>
      </c>
      <c r="C6" s="373">
        <v>56181</v>
      </c>
      <c r="D6" s="373">
        <v>20241</v>
      </c>
      <c r="E6" s="370" t="s">
        <v>430</v>
      </c>
      <c r="F6" s="373">
        <v>234510</v>
      </c>
      <c r="G6" s="373">
        <v>76970</v>
      </c>
      <c r="H6" s="368">
        <v>154384</v>
      </c>
      <c r="I6" s="368">
        <v>100963</v>
      </c>
      <c r="J6" s="368">
        <v>1011941</v>
      </c>
      <c r="K6" s="366" t="s">
        <v>430</v>
      </c>
      <c r="L6" s="368">
        <v>1898</v>
      </c>
      <c r="M6" s="366" t="s">
        <v>430</v>
      </c>
      <c r="N6" s="368">
        <v>14143</v>
      </c>
      <c r="O6" s="377" t="s">
        <v>225</v>
      </c>
    </row>
    <row r="7" spans="1:15" s="211" customFormat="1" ht="11.1" customHeight="1">
      <c r="A7" s="211" t="s">
        <v>972</v>
      </c>
      <c r="B7" s="183">
        <v>955.09444444444443</v>
      </c>
      <c r="C7" s="183">
        <v>56546</v>
      </c>
      <c r="D7" s="183">
        <v>20740</v>
      </c>
      <c r="E7" s="35" t="s">
        <v>430</v>
      </c>
      <c r="F7" s="183">
        <v>315050</v>
      </c>
      <c r="G7" s="183">
        <v>113765</v>
      </c>
      <c r="H7" s="477">
        <v>162407</v>
      </c>
      <c r="I7" s="477">
        <v>63309</v>
      </c>
      <c r="J7" s="477">
        <v>1036947</v>
      </c>
      <c r="K7" s="324" t="s">
        <v>430</v>
      </c>
      <c r="L7" s="477">
        <v>1442</v>
      </c>
      <c r="M7" s="324" t="s">
        <v>430</v>
      </c>
      <c r="N7" s="477">
        <v>18148</v>
      </c>
      <c r="O7" s="270" t="s">
        <v>972</v>
      </c>
    </row>
    <row r="8" spans="1:15" s="211" customFormat="1" ht="11.1" customHeight="1">
      <c r="A8" s="376" t="s">
        <v>1107</v>
      </c>
      <c r="B8" s="373">
        <v>970.12777777777774</v>
      </c>
      <c r="C8" s="373">
        <v>56949</v>
      </c>
      <c r="D8" s="373">
        <v>17774</v>
      </c>
      <c r="E8" s="370" t="s">
        <v>430</v>
      </c>
      <c r="F8" s="373">
        <v>262620</v>
      </c>
      <c r="G8" s="373">
        <v>313265</v>
      </c>
      <c r="H8" s="368">
        <v>194048</v>
      </c>
      <c r="I8" s="368">
        <v>107133</v>
      </c>
      <c r="J8" s="368">
        <v>1074791</v>
      </c>
      <c r="K8" s="366" t="s">
        <v>430</v>
      </c>
      <c r="L8" s="368">
        <v>2364</v>
      </c>
      <c r="M8" s="366" t="s">
        <v>430</v>
      </c>
      <c r="N8" s="368">
        <v>20989</v>
      </c>
      <c r="O8" s="377" t="s">
        <v>1107</v>
      </c>
    </row>
    <row r="9" spans="1:15" s="211" customFormat="1" ht="11.1" customHeight="1">
      <c r="A9" s="211" t="s">
        <v>1347</v>
      </c>
      <c r="B9" s="183">
        <v>974.33888888888885</v>
      </c>
      <c r="C9" s="183">
        <v>57386</v>
      </c>
      <c r="D9" s="183">
        <v>13098</v>
      </c>
      <c r="E9" s="35" t="s">
        <v>430</v>
      </c>
      <c r="F9" s="183">
        <v>283130</v>
      </c>
      <c r="G9" s="183">
        <v>352115</v>
      </c>
      <c r="H9" s="477">
        <v>209106</v>
      </c>
      <c r="I9" s="477">
        <v>128268</v>
      </c>
      <c r="J9" s="477">
        <v>976691</v>
      </c>
      <c r="K9" s="477" t="s">
        <v>430</v>
      </c>
      <c r="L9" s="477">
        <v>2009</v>
      </c>
      <c r="M9" s="477" t="s">
        <v>430</v>
      </c>
      <c r="N9" s="477">
        <v>20813</v>
      </c>
      <c r="O9" s="270" t="s">
        <v>1347</v>
      </c>
    </row>
    <row r="10" spans="1:15" s="211" customFormat="1" ht="11.1" customHeight="1">
      <c r="A10" s="376" t="s">
        <v>1406</v>
      </c>
      <c r="B10" s="368">
        <v>780.2166666666667</v>
      </c>
      <c r="C10" s="368">
        <v>44692</v>
      </c>
      <c r="D10" s="368">
        <v>12660</v>
      </c>
      <c r="E10" s="368" t="s">
        <v>430</v>
      </c>
      <c r="F10" s="368">
        <v>264850</v>
      </c>
      <c r="G10" s="368">
        <v>609045</v>
      </c>
      <c r="H10" s="368">
        <v>298939</v>
      </c>
      <c r="I10" s="368">
        <v>77450</v>
      </c>
      <c r="J10" s="368">
        <v>1028157</v>
      </c>
      <c r="K10" s="368" t="s">
        <v>430</v>
      </c>
      <c r="L10" s="368">
        <v>1529</v>
      </c>
      <c r="M10" s="368" t="s">
        <v>430</v>
      </c>
      <c r="N10" s="368">
        <v>18935</v>
      </c>
      <c r="O10" s="377" t="s">
        <v>1406</v>
      </c>
    </row>
    <row r="11" spans="1:15" s="211" customFormat="1" ht="11.1" customHeight="1">
      <c r="A11" s="211" t="s">
        <v>1560</v>
      </c>
      <c r="B11" s="477">
        <v>892</v>
      </c>
      <c r="C11" s="477">
        <v>47444</v>
      </c>
      <c r="D11" s="477">
        <v>10577</v>
      </c>
      <c r="E11" s="324" t="s">
        <v>430</v>
      </c>
      <c r="F11" s="477">
        <v>224210</v>
      </c>
      <c r="G11" s="477">
        <v>728260</v>
      </c>
      <c r="H11" s="477">
        <v>278952</v>
      </c>
      <c r="I11" s="477">
        <v>58219.3</v>
      </c>
      <c r="J11" s="477">
        <v>1010446</v>
      </c>
      <c r="K11" s="324" t="s">
        <v>430</v>
      </c>
      <c r="L11" s="477">
        <v>1363</v>
      </c>
      <c r="M11" s="324" t="s">
        <v>430</v>
      </c>
      <c r="N11" s="477">
        <v>19506</v>
      </c>
      <c r="O11" s="270" t="s">
        <v>1560</v>
      </c>
    </row>
    <row r="12" spans="1:15" s="211" customFormat="1" ht="11.1" customHeight="1">
      <c r="A12" s="376" t="s">
        <v>1596</v>
      </c>
      <c r="B12" s="368">
        <v>898</v>
      </c>
      <c r="C12" s="368">
        <v>47060</v>
      </c>
      <c r="D12" s="368">
        <v>6777</v>
      </c>
      <c r="E12" s="366" t="s">
        <v>430</v>
      </c>
      <c r="F12" s="368">
        <v>175730</v>
      </c>
      <c r="G12" s="368">
        <v>657966</v>
      </c>
      <c r="H12" s="368">
        <v>348931</v>
      </c>
      <c r="I12" s="368">
        <v>59984.55</v>
      </c>
      <c r="J12" s="368">
        <v>1089418.05</v>
      </c>
      <c r="K12" s="366" t="s">
        <v>430</v>
      </c>
      <c r="L12" s="368">
        <v>1333</v>
      </c>
      <c r="M12" s="366" t="s">
        <v>430</v>
      </c>
      <c r="N12" s="368">
        <v>22827</v>
      </c>
      <c r="O12" s="377" t="s">
        <v>1596</v>
      </c>
    </row>
    <row r="13" spans="1:15" s="211" customFormat="1" ht="11.1" customHeight="1">
      <c r="A13" s="243" t="s">
        <v>1756</v>
      </c>
      <c r="B13" s="428">
        <v>932</v>
      </c>
      <c r="C13" s="428">
        <v>42447</v>
      </c>
      <c r="D13" s="428">
        <v>3182</v>
      </c>
      <c r="E13" s="605" t="s">
        <v>430</v>
      </c>
      <c r="F13" s="428">
        <v>156600</v>
      </c>
      <c r="G13" s="428">
        <v>1001358</v>
      </c>
      <c r="H13" s="428">
        <v>408516</v>
      </c>
      <c r="I13" s="428">
        <v>68602.5</v>
      </c>
      <c r="J13" s="428">
        <v>913965</v>
      </c>
      <c r="K13" s="605" t="s">
        <v>430</v>
      </c>
      <c r="L13" s="428">
        <v>1629</v>
      </c>
      <c r="M13" s="605" t="s">
        <v>430</v>
      </c>
      <c r="N13" s="428">
        <v>25124</v>
      </c>
      <c r="O13" s="577" t="s">
        <v>1756</v>
      </c>
    </row>
    <row r="14" spans="1:15" s="211" customFormat="1" ht="11.1" customHeight="1">
      <c r="A14" s="378" t="s">
        <v>1904</v>
      </c>
      <c r="B14" s="600">
        <f>SUM(B15:B26)</f>
        <v>1004</v>
      </c>
      <c r="C14" s="600">
        <f>SUM(C15:C26)</f>
        <v>41744</v>
      </c>
      <c r="D14" s="600">
        <f>SUM(D15:D26)</f>
        <v>5635</v>
      </c>
      <c r="E14" s="668" t="s">
        <v>430</v>
      </c>
      <c r="F14" s="600">
        <f>SUM(F15:F26)</f>
        <v>152810</v>
      </c>
      <c r="G14" s="600">
        <f>SUM(G15:G26)</f>
        <v>1082720</v>
      </c>
      <c r="H14" s="600">
        <f>SUM(H15:H26)</f>
        <v>359883</v>
      </c>
      <c r="I14" s="600">
        <f>SUM(I15:I26)</f>
        <v>68953.100000000006</v>
      </c>
      <c r="J14" s="600">
        <f>SUM(J15:J26)</f>
        <v>923425</v>
      </c>
      <c r="K14" s="668" t="s">
        <v>430</v>
      </c>
      <c r="L14" s="600">
        <f>SUM(L15:L26)</f>
        <v>1431</v>
      </c>
      <c r="M14" s="668" t="s">
        <v>430</v>
      </c>
      <c r="N14" s="600">
        <f>SUM(N15:N26)</f>
        <v>34653</v>
      </c>
      <c r="O14" s="379" t="s">
        <v>1904</v>
      </c>
    </row>
    <row r="15" spans="1:15" s="211" customFormat="1" ht="11.1" customHeight="1">
      <c r="A15" s="211" t="s">
        <v>742</v>
      </c>
      <c r="B15" s="324">
        <v>78</v>
      </c>
      <c r="C15" s="324">
        <v>3459</v>
      </c>
      <c r="D15" s="35">
        <v>352</v>
      </c>
      <c r="E15" s="324" t="s">
        <v>430</v>
      </c>
      <c r="F15" s="324">
        <v>10350</v>
      </c>
      <c r="G15" s="324">
        <v>72947</v>
      </c>
      <c r="H15" s="324">
        <v>24031</v>
      </c>
      <c r="I15" s="477">
        <v>0</v>
      </c>
      <c r="J15" s="477">
        <f>12705+7184+7506</f>
        <v>27395</v>
      </c>
      <c r="K15" s="324" t="s">
        <v>430</v>
      </c>
      <c r="L15" s="324">
        <v>115</v>
      </c>
      <c r="M15" s="324" t="s">
        <v>430</v>
      </c>
      <c r="N15" s="324">
        <v>2653</v>
      </c>
      <c r="O15" s="270" t="s">
        <v>742</v>
      </c>
    </row>
    <row r="16" spans="1:15" s="211" customFormat="1" ht="11.1" customHeight="1">
      <c r="A16" s="376" t="s">
        <v>743</v>
      </c>
      <c r="B16" s="366">
        <v>78</v>
      </c>
      <c r="C16" s="366">
        <v>3531</v>
      </c>
      <c r="D16" s="370">
        <v>530</v>
      </c>
      <c r="E16" s="366" t="s">
        <v>430</v>
      </c>
      <c r="F16" s="366">
        <v>11440</v>
      </c>
      <c r="G16" s="366">
        <v>74491</v>
      </c>
      <c r="H16" s="366">
        <v>25880</v>
      </c>
      <c r="I16" s="368">
        <v>0</v>
      </c>
      <c r="J16" s="368">
        <f>12249+9570+6824</f>
        <v>28643</v>
      </c>
      <c r="K16" s="366" t="s">
        <v>430</v>
      </c>
      <c r="L16" s="366">
        <v>129</v>
      </c>
      <c r="M16" s="366" t="s">
        <v>430</v>
      </c>
      <c r="N16" s="366">
        <v>2682</v>
      </c>
      <c r="O16" s="377" t="s">
        <v>743</v>
      </c>
    </row>
    <row r="17" spans="1:17" s="211" customFormat="1" ht="11.1" customHeight="1">
      <c r="A17" s="211" t="s">
        <v>737</v>
      </c>
      <c r="B17" s="324">
        <v>82</v>
      </c>
      <c r="C17" s="324">
        <v>3416</v>
      </c>
      <c r="D17" s="35">
        <v>262</v>
      </c>
      <c r="E17" s="324" t="s">
        <v>430</v>
      </c>
      <c r="F17" s="324">
        <v>11870</v>
      </c>
      <c r="G17" s="324">
        <v>91826</v>
      </c>
      <c r="H17" s="324">
        <v>25530</v>
      </c>
      <c r="I17" s="477">
        <v>0</v>
      </c>
      <c r="J17" s="477">
        <v>82036</v>
      </c>
      <c r="K17" s="324" t="s">
        <v>430</v>
      </c>
      <c r="L17" s="324">
        <v>117</v>
      </c>
      <c r="M17" s="324" t="s">
        <v>430</v>
      </c>
      <c r="N17" s="324">
        <v>2644</v>
      </c>
      <c r="O17" s="270" t="s">
        <v>737</v>
      </c>
    </row>
    <row r="18" spans="1:17" s="211" customFormat="1" ht="11.1" customHeight="1">
      <c r="A18" s="376" t="s">
        <v>744</v>
      </c>
      <c r="B18" s="366">
        <v>84</v>
      </c>
      <c r="C18" s="366">
        <v>3163</v>
      </c>
      <c r="D18" s="370">
        <v>420</v>
      </c>
      <c r="E18" s="366" t="s">
        <v>430</v>
      </c>
      <c r="F18" s="366">
        <v>11730</v>
      </c>
      <c r="G18" s="366">
        <v>81850</v>
      </c>
      <c r="H18" s="366">
        <v>25120</v>
      </c>
      <c r="I18" s="368">
        <v>0</v>
      </c>
      <c r="J18" s="368">
        <f>125752+10422+270</f>
        <v>136444</v>
      </c>
      <c r="K18" s="366" t="s">
        <v>430</v>
      </c>
      <c r="L18" s="366">
        <v>122</v>
      </c>
      <c r="M18" s="366" t="s">
        <v>430</v>
      </c>
      <c r="N18" s="366">
        <v>2673</v>
      </c>
      <c r="O18" s="377" t="s">
        <v>744</v>
      </c>
    </row>
    <row r="19" spans="1:17" s="211" customFormat="1" ht="11.1" customHeight="1">
      <c r="A19" s="211" t="s">
        <v>745</v>
      </c>
      <c r="B19" s="324">
        <v>84</v>
      </c>
      <c r="C19" s="324">
        <v>3197</v>
      </c>
      <c r="D19" s="35">
        <v>620</v>
      </c>
      <c r="E19" s="324" t="s">
        <v>430</v>
      </c>
      <c r="F19" s="324">
        <v>14670</v>
      </c>
      <c r="G19" s="324">
        <v>111701</v>
      </c>
      <c r="H19" s="324">
        <v>31875</v>
      </c>
      <c r="I19" s="477">
        <v>2236.5</v>
      </c>
      <c r="J19" s="477">
        <f>65506+9475</f>
        <v>74981</v>
      </c>
      <c r="K19" s="324" t="s">
        <v>430</v>
      </c>
      <c r="L19" s="324">
        <v>122</v>
      </c>
      <c r="M19" s="324" t="s">
        <v>430</v>
      </c>
      <c r="N19" s="324">
        <v>2768</v>
      </c>
      <c r="O19" s="270" t="s">
        <v>745</v>
      </c>
    </row>
    <row r="20" spans="1:17" s="211" customFormat="1" ht="11.1" customHeight="1">
      <c r="A20" s="376" t="s">
        <v>738</v>
      </c>
      <c r="B20" s="366">
        <v>85</v>
      </c>
      <c r="C20" s="366">
        <v>3655</v>
      </c>
      <c r="D20" s="370">
        <v>468</v>
      </c>
      <c r="E20" s="366" t="s">
        <v>430</v>
      </c>
      <c r="F20" s="366">
        <v>12500</v>
      </c>
      <c r="G20" s="366">
        <v>94627</v>
      </c>
      <c r="H20" s="366">
        <v>33197</v>
      </c>
      <c r="I20" s="368">
        <v>15980.5</v>
      </c>
      <c r="J20" s="368">
        <f>112635+10140</f>
        <v>122775</v>
      </c>
      <c r="K20" s="366" t="s">
        <v>430</v>
      </c>
      <c r="L20" s="366">
        <v>116</v>
      </c>
      <c r="M20" s="366" t="s">
        <v>430</v>
      </c>
      <c r="N20" s="366">
        <v>2825</v>
      </c>
      <c r="O20" s="377" t="s">
        <v>738</v>
      </c>
    </row>
    <row r="21" spans="1:17" s="211" customFormat="1" ht="11.1" customHeight="1">
      <c r="A21" s="211" t="s">
        <v>746</v>
      </c>
      <c r="B21" s="324">
        <v>85</v>
      </c>
      <c r="C21" s="324">
        <v>3615</v>
      </c>
      <c r="D21" s="35">
        <v>717</v>
      </c>
      <c r="E21" s="324" t="s">
        <v>430</v>
      </c>
      <c r="F21" s="324">
        <v>13200</v>
      </c>
      <c r="G21" s="324">
        <v>91632</v>
      </c>
      <c r="H21" s="324">
        <v>38250</v>
      </c>
      <c r="I21" s="477">
        <v>30586</v>
      </c>
      <c r="J21" s="477">
        <f>112021+10904</f>
        <v>122925</v>
      </c>
      <c r="K21" s="324" t="s">
        <v>430</v>
      </c>
      <c r="L21" s="324">
        <v>126</v>
      </c>
      <c r="M21" s="324" t="s">
        <v>430</v>
      </c>
      <c r="N21" s="324">
        <v>2880</v>
      </c>
      <c r="O21" s="270" t="s">
        <v>746</v>
      </c>
    </row>
    <row r="22" spans="1:17" s="211" customFormat="1" ht="11.1" customHeight="1">
      <c r="A22" s="376" t="s">
        <v>747</v>
      </c>
      <c r="B22" s="366">
        <v>85</v>
      </c>
      <c r="C22" s="366">
        <v>3625</v>
      </c>
      <c r="D22" s="370">
        <v>555</v>
      </c>
      <c r="E22" s="366" t="s">
        <v>430</v>
      </c>
      <c r="F22" s="366">
        <v>13500</v>
      </c>
      <c r="G22" s="366">
        <v>91752</v>
      </c>
      <c r="H22" s="366">
        <v>34192</v>
      </c>
      <c r="I22" s="368">
        <v>17390.099999999999</v>
      </c>
      <c r="J22" s="368">
        <f>82168+11336</f>
        <v>93504</v>
      </c>
      <c r="K22" s="366" t="s">
        <v>430</v>
      </c>
      <c r="L22" s="366">
        <v>95</v>
      </c>
      <c r="M22" s="366" t="s">
        <v>430</v>
      </c>
      <c r="N22" s="366">
        <v>2948</v>
      </c>
      <c r="O22" s="377" t="s">
        <v>747</v>
      </c>
    </row>
    <row r="23" spans="1:17" s="211" customFormat="1" ht="11.1" customHeight="1">
      <c r="A23" s="211" t="s">
        <v>739</v>
      </c>
      <c r="B23" s="324">
        <v>85</v>
      </c>
      <c r="C23" s="324">
        <v>3529</v>
      </c>
      <c r="D23" s="35">
        <v>602</v>
      </c>
      <c r="E23" s="324" t="s">
        <v>430</v>
      </c>
      <c r="F23" s="324">
        <v>13200</v>
      </c>
      <c r="G23" s="324">
        <v>83082</v>
      </c>
      <c r="H23" s="324">
        <v>31532</v>
      </c>
      <c r="I23" s="477">
        <v>2760</v>
      </c>
      <c r="J23" s="477">
        <f>82410+5720+2673</f>
        <v>90803</v>
      </c>
      <c r="K23" s="324" t="s">
        <v>430</v>
      </c>
      <c r="L23" s="324">
        <v>124</v>
      </c>
      <c r="M23" s="324" t="s">
        <v>430</v>
      </c>
      <c r="N23" s="324">
        <v>3100</v>
      </c>
      <c r="O23" s="270" t="s">
        <v>739</v>
      </c>
    </row>
    <row r="24" spans="1:17" s="211" customFormat="1" ht="11.1" customHeight="1">
      <c r="A24" s="376" t="s">
        <v>748</v>
      </c>
      <c r="B24" s="366">
        <v>86</v>
      </c>
      <c r="C24" s="366">
        <v>3300</v>
      </c>
      <c r="D24" s="370">
        <v>424</v>
      </c>
      <c r="E24" s="366" t="s">
        <v>430</v>
      </c>
      <c r="F24" s="366">
        <v>13400</v>
      </c>
      <c r="G24" s="366">
        <v>88212</v>
      </c>
      <c r="H24" s="366">
        <v>29956</v>
      </c>
      <c r="I24" s="368">
        <v>0</v>
      </c>
      <c r="J24" s="368">
        <f>54786+2850+3571</f>
        <v>61207</v>
      </c>
      <c r="K24" s="366" t="s">
        <v>430</v>
      </c>
      <c r="L24" s="366">
        <v>121</v>
      </c>
      <c r="M24" s="366" t="s">
        <v>430</v>
      </c>
      <c r="N24" s="366">
        <v>3095</v>
      </c>
      <c r="O24" s="377" t="s">
        <v>748</v>
      </c>
    </row>
    <row r="25" spans="1:17" s="211" customFormat="1" ht="11.1" customHeight="1">
      <c r="A25" s="211" t="s">
        <v>749</v>
      </c>
      <c r="B25" s="324">
        <v>86</v>
      </c>
      <c r="C25" s="324">
        <v>3584</v>
      </c>
      <c r="D25" s="35">
        <v>253</v>
      </c>
      <c r="E25" s="324" t="s">
        <v>430</v>
      </c>
      <c r="F25" s="324">
        <v>13450</v>
      </c>
      <c r="G25" s="324">
        <v>112250</v>
      </c>
      <c r="H25" s="324">
        <v>30125</v>
      </c>
      <c r="I25" s="477">
        <v>0</v>
      </c>
      <c r="J25" s="477">
        <f>30673+6974+9494+1060</f>
        <v>48201</v>
      </c>
      <c r="K25" s="324" t="s">
        <v>430</v>
      </c>
      <c r="L25" s="324">
        <v>122</v>
      </c>
      <c r="M25" s="324" t="s">
        <v>430</v>
      </c>
      <c r="N25" s="324">
        <v>3160</v>
      </c>
      <c r="O25" s="270" t="s">
        <v>749</v>
      </c>
    </row>
    <row r="26" spans="1:17" s="211" customFormat="1" ht="11.1" customHeight="1">
      <c r="A26" s="376" t="s">
        <v>740</v>
      </c>
      <c r="B26" s="366">
        <v>86</v>
      </c>
      <c r="C26" s="366">
        <v>3670</v>
      </c>
      <c r="D26" s="370">
        <v>432</v>
      </c>
      <c r="E26" s="366" t="s">
        <v>430</v>
      </c>
      <c r="F26" s="366">
        <v>13500</v>
      </c>
      <c r="G26" s="366">
        <v>88350</v>
      </c>
      <c r="H26" s="366">
        <v>30195</v>
      </c>
      <c r="I26" s="368">
        <v>0</v>
      </c>
      <c r="J26" s="368">
        <f>18265+5375+9494+1377</f>
        <v>34511</v>
      </c>
      <c r="K26" s="366" t="s">
        <v>430</v>
      </c>
      <c r="L26" s="366">
        <v>122</v>
      </c>
      <c r="M26" s="366" t="s">
        <v>430</v>
      </c>
      <c r="N26" s="366">
        <v>3225</v>
      </c>
      <c r="O26" s="377" t="s">
        <v>740</v>
      </c>
    </row>
    <row r="27" spans="1:17" s="211" customFormat="1" ht="11.1" customHeight="1">
      <c r="A27" s="243" t="s">
        <v>2017</v>
      </c>
      <c r="B27" s="428">
        <f>SUM(B28:B39)</f>
        <v>1241</v>
      </c>
      <c r="C27" s="428">
        <f t="shared" ref="C27:J27" si="0">SUM(C28:C39)</f>
        <v>35782</v>
      </c>
      <c r="D27" s="428">
        <f t="shared" si="0"/>
        <v>7220</v>
      </c>
      <c r="E27" s="477" t="s">
        <v>430</v>
      </c>
      <c r="F27" s="428">
        <f t="shared" si="0"/>
        <v>161860</v>
      </c>
      <c r="G27" s="428">
        <f t="shared" si="0"/>
        <v>1088705</v>
      </c>
      <c r="H27" s="428">
        <f t="shared" si="0"/>
        <v>430242</v>
      </c>
      <c r="I27" s="428">
        <f t="shared" si="0"/>
        <v>82140.45</v>
      </c>
      <c r="J27" s="428">
        <f t="shared" si="0"/>
        <v>1100799</v>
      </c>
      <c r="K27" s="324" t="s">
        <v>430</v>
      </c>
      <c r="L27" s="428">
        <f>SUM(L28:L39)</f>
        <v>1021</v>
      </c>
      <c r="M27" s="324" t="s">
        <v>430</v>
      </c>
      <c r="N27" s="428">
        <f>SUM(N28:N39)</f>
        <v>44264</v>
      </c>
      <c r="O27" s="577" t="s">
        <v>2017</v>
      </c>
    </row>
    <row r="28" spans="1:17" s="211" customFormat="1" ht="11.1" customHeight="1">
      <c r="A28" s="376" t="s">
        <v>742</v>
      </c>
      <c r="B28" s="366">
        <v>87</v>
      </c>
      <c r="C28" s="366">
        <v>3112</v>
      </c>
      <c r="D28" s="370">
        <v>257</v>
      </c>
      <c r="E28" s="366" t="s">
        <v>430</v>
      </c>
      <c r="F28" s="366">
        <v>13200</v>
      </c>
      <c r="G28" s="366">
        <v>81850</v>
      </c>
      <c r="H28" s="366">
        <v>23361</v>
      </c>
      <c r="I28" s="368">
        <v>0</v>
      </c>
      <c r="J28" s="368">
        <v>11482</v>
      </c>
      <c r="K28" s="366" t="s">
        <v>430</v>
      </c>
      <c r="L28" s="366">
        <v>106</v>
      </c>
      <c r="M28" s="366" t="s">
        <v>430</v>
      </c>
      <c r="N28" s="366">
        <v>3295</v>
      </c>
      <c r="O28" s="377" t="s">
        <v>742</v>
      </c>
    </row>
    <row r="29" spans="1:17" s="211" customFormat="1" ht="11.1" customHeight="1">
      <c r="A29" s="211" t="s">
        <v>743</v>
      </c>
      <c r="B29" s="324">
        <v>87</v>
      </c>
      <c r="C29" s="324">
        <v>3067</v>
      </c>
      <c r="D29" s="35">
        <v>129</v>
      </c>
      <c r="E29" s="324" t="s">
        <v>430</v>
      </c>
      <c r="F29" s="324">
        <v>13250</v>
      </c>
      <c r="G29" s="324">
        <v>83166</v>
      </c>
      <c r="H29" s="324">
        <v>23498</v>
      </c>
      <c r="I29" s="477">
        <v>0</v>
      </c>
      <c r="J29" s="477">
        <v>11560</v>
      </c>
      <c r="K29" s="324" t="s">
        <v>430</v>
      </c>
      <c r="L29" s="324">
        <v>107</v>
      </c>
      <c r="M29" s="324" t="s">
        <v>430</v>
      </c>
      <c r="N29" s="324">
        <v>3344</v>
      </c>
      <c r="O29" s="270" t="s">
        <v>743</v>
      </c>
    </row>
    <row r="30" spans="1:17" s="211" customFormat="1" ht="11.1" customHeight="1">
      <c r="A30" s="376" t="s">
        <v>737</v>
      </c>
      <c r="B30" s="366">
        <v>87</v>
      </c>
      <c r="C30" s="366">
        <v>3077</v>
      </c>
      <c r="D30" s="370">
        <v>546</v>
      </c>
      <c r="E30" s="366" t="s">
        <v>430</v>
      </c>
      <c r="F30" s="366">
        <v>13910</v>
      </c>
      <c r="G30" s="366">
        <v>85285</v>
      </c>
      <c r="H30" s="366">
        <v>24375</v>
      </c>
      <c r="I30" s="368">
        <v>0</v>
      </c>
      <c r="J30" s="368">
        <v>33195</v>
      </c>
      <c r="K30" s="366" t="s">
        <v>430</v>
      </c>
      <c r="L30" s="366">
        <v>116</v>
      </c>
      <c r="M30" s="366" t="s">
        <v>430</v>
      </c>
      <c r="N30" s="366">
        <v>3410</v>
      </c>
      <c r="O30" s="377" t="s">
        <v>737</v>
      </c>
    </row>
    <row r="31" spans="1:17" s="211" customFormat="1" ht="11.1" customHeight="1">
      <c r="A31" s="211" t="s">
        <v>744</v>
      </c>
      <c r="B31" s="324">
        <v>88</v>
      </c>
      <c r="C31" s="324">
        <v>3107</v>
      </c>
      <c r="D31" s="35">
        <v>690</v>
      </c>
      <c r="E31" s="324" t="s">
        <v>430</v>
      </c>
      <c r="F31" s="324">
        <v>13500</v>
      </c>
      <c r="G31" s="324">
        <v>89550</v>
      </c>
      <c r="H31" s="324">
        <v>25590</v>
      </c>
      <c r="I31" s="477">
        <v>0</v>
      </c>
      <c r="J31" s="477">
        <v>72756</v>
      </c>
      <c r="K31" s="324" t="s">
        <v>430</v>
      </c>
      <c r="L31" s="324">
        <v>112</v>
      </c>
      <c r="M31" s="324" t="s">
        <v>430</v>
      </c>
      <c r="N31" s="324">
        <v>3521</v>
      </c>
      <c r="O31" s="270" t="s">
        <v>744</v>
      </c>
      <c r="Q31" s="1203"/>
    </row>
    <row r="32" spans="1:17" s="211" customFormat="1" ht="11.1" customHeight="1">
      <c r="A32" s="376" t="s">
        <v>745</v>
      </c>
      <c r="B32" s="366">
        <v>95</v>
      </c>
      <c r="C32" s="366">
        <v>3342</v>
      </c>
      <c r="D32" s="370">
        <v>573</v>
      </c>
      <c r="E32" s="366" t="s">
        <v>430</v>
      </c>
      <c r="F32" s="366">
        <v>13700</v>
      </c>
      <c r="G32" s="366">
        <v>92192</v>
      </c>
      <c r="H32" s="366">
        <v>26294</v>
      </c>
      <c r="I32" s="368">
        <v>3733</v>
      </c>
      <c r="J32" s="368">
        <v>70900</v>
      </c>
      <c r="K32" s="366" t="s">
        <v>430</v>
      </c>
      <c r="L32" s="366">
        <v>117</v>
      </c>
      <c r="M32" s="366" t="s">
        <v>430</v>
      </c>
      <c r="N32" s="366">
        <v>3591</v>
      </c>
      <c r="O32" s="377" t="s">
        <v>745</v>
      </c>
    </row>
    <row r="33" spans="1:15" s="211" customFormat="1" ht="11.1" customHeight="1">
      <c r="A33" s="211" t="s">
        <v>738</v>
      </c>
      <c r="B33" s="324">
        <v>118</v>
      </c>
      <c r="C33" s="324">
        <v>4163</v>
      </c>
      <c r="D33" s="35">
        <v>767</v>
      </c>
      <c r="E33" s="324" t="s">
        <v>430</v>
      </c>
      <c r="F33" s="324">
        <v>13650</v>
      </c>
      <c r="G33" s="324">
        <v>94911</v>
      </c>
      <c r="H33" s="324">
        <v>27069</v>
      </c>
      <c r="I33" s="477">
        <v>19502</v>
      </c>
      <c r="J33" s="477">
        <v>131234</v>
      </c>
      <c r="K33" s="324" t="s">
        <v>430</v>
      </c>
      <c r="L33" s="324">
        <v>129</v>
      </c>
      <c r="M33" s="324" t="s">
        <v>430</v>
      </c>
      <c r="N33" s="324">
        <v>3663</v>
      </c>
      <c r="O33" s="270" t="s">
        <v>738</v>
      </c>
    </row>
    <row r="34" spans="1:15" s="211" customFormat="1" ht="11.1" customHeight="1">
      <c r="A34" s="376" t="s">
        <v>746</v>
      </c>
      <c r="B34" s="366">
        <v>112</v>
      </c>
      <c r="C34" s="366">
        <v>4093</v>
      </c>
      <c r="D34" s="370">
        <v>642</v>
      </c>
      <c r="E34" s="366" t="s">
        <v>430</v>
      </c>
      <c r="F34" s="366">
        <v>13600</v>
      </c>
      <c r="G34" s="366">
        <v>95500</v>
      </c>
      <c r="H34" s="366">
        <v>49750</v>
      </c>
      <c r="I34" s="368">
        <v>33245.5</v>
      </c>
      <c r="J34" s="368">
        <v>134250</v>
      </c>
      <c r="K34" s="366" t="s">
        <v>430</v>
      </c>
      <c r="L34" s="366">
        <v>116</v>
      </c>
      <c r="M34" s="366" t="s">
        <v>430</v>
      </c>
      <c r="N34" s="366">
        <v>3665</v>
      </c>
      <c r="O34" s="377" t="s">
        <v>746</v>
      </c>
    </row>
    <row r="35" spans="1:15" s="211" customFormat="1" ht="11.1" customHeight="1">
      <c r="A35" s="211" t="s">
        <v>747</v>
      </c>
      <c r="B35" s="324">
        <v>113</v>
      </c>
      <c r="C35" s="324">
        <v>3099</v>
      </c>
      <c r="D35" s="35">
        <v>580</v>
      </c>
      <c r="E35" s="324" t="s">
        <v>430</v>
      </c>
      <c r="F35" s="324">
        <v>13500</v>
      </c>
      <c r="G35" s="324">
        <v>91562</v>
      </c>
      <c r="H35" s="324">
        <v>49890</v>
      </c>
      <c r="I35" s="477">
        <v>19461.2</v>
      </c>
      <c r="J35" s="477">
        <v>134141</v>
      </c>
      <c r="K35" s="324" t="s">
        <v>430</v>
      </c>
      <c r="L35" s="324">
        <v>101</v>
      </c>
      <c r="M35" s="324" t="s">
        <v>430</v>
      </c>
      <c r="N35" s="324">
        <v>3755</v>
      </c>
      <c r="O35" s="270" t="s">
        <v>747</v>
      </c>
    </row>
    <row r="36" spans="1:15" s="211" customFormat="1" ht="11.1" customHeight="1">
      <c r="A36" s="376" t="s">
        <v>739</v>
      </c>
      <c r="B36" s="366">
        <v>113</v>
      </c>
      <c r="C36" s="366">
        <v>3031</v>
      </c>
      <c r="D36" s="370">
        <v>735</v>
      </c>
      <c r="E36" s="366" t="s">
        <v>430</v>
      </c>
      <c r="F36" s="366">
        <v>13250</v>
      </c>
      <c r="G36" s="366">
        <v>94896</v>
      </c>
      <c r="H36" s="366">
        <v>43466</v>
      </c>
      <c r="I36" s="368">
        <v>5471</v>
      </c>
      <c r="J36" s="368">
        <v>96018</v>
      </c>
      <c r="K36" s="366" t="s">
        <v>430</v>
      </c>
      <c r="L36" s="366">
        <v>96</v>
      </c>
      <c r="M36" s="366" t="s">
        <v>430</v>
      </c>
      <c r="N36" s="366">
        <v>3949</v>
      </c>
      <c r="O36" s="377" t="s">
        <v>739</v>
      </c>
    </row>
    <row r="37" spans="1:15" s="211" customFormat="1" ht="11.1" customHeight="1">
      <c r="A37" s="211" t="s">
        <v>748</v>
      </c>
      <c r="B37" s="324">
        <v>113</v>
      </c>
      <c r="C37" s="324">
        <v>3098</v>
      </c>
      <c r="D37" s="35">
        <v>1281</v>
      </c>
      <c r="E37" s="324" t="s">
        <v>430</v>
      </c>
      <c r="F37" s="324">
        <v>13450</v>
      </c>
      <c r="G37" s="324">
        <v>99640</v>
      </c>
      <c r="H37" s="324">
        <v>45640</v>
      </c>
      <c r="I37" s="477">
        <v>727.75</v>
      </c>
      <c r="J37" s="477">
        <v>198544</v>
      </c>
      <c r="K37" s="324" t="s">
        <v>430</v>
      </c>
      <c r="L37" s="324">
        <v>1</v>
      </c>
      <c r="M37" s="324" t="s">
        <v>430</v>
      </c>
      <c r="N37" s="324">
        <v>3942</v>
      </c>
      <c r="O37" s="270" t="s">
        <v>748</v>
      </c>
    </row>
    <row r="38" spans="1:15" s="211" customFormat="1" ht="11.1" customHeight="1">
      <c r="A38" s="376" t="s">
        <v>749</v>
      </c>
      <c r="B38" s="366">
        <v>114</v>
      </c>
      <c r="C38" s="366">
        <v>640</v>
      </c>
      <c r="D38" s="366">
        <v>500</v>
      </c>
      <c r="E38" s="366" t="s">
        <v>430</v>
      </c>
      <c r="F38" s="366">
        <v>13450</v>
      </c>
      <c r="G38" s="366">
        <v>83880</v>
      </c>
      <c r="H38" s="366">
        <v>59674</v>
      </c>
      <c r="I38" s="368">
        <v>0</v>
      </c>
      <c r="J38" s="368">
        <v>124244</v>
      </c>
      <c r="K38" s="366" t="s">
        <v>430</v>
      </c>
      <c r="L38" s="366">
        <v>0</v>
      </c>
      <c r="M38" s="366" t="s">
        <v>430</v>
      </c>
      <c r="N38" s="366">
        <v>4023</v>
      </c>
      <c r="O38" s="377" t="s">
        <v>749</v>
      </c>
    </row>
    <row r="39" spans="1:15" s="211" customFormat="1" ht="11.1" customHeight="1">
      <c r="A39" s="211" t="s">
        <v>740</v>
      </c>
      <c r="B39" s="324">
        <v>114</v>
      </c>
      <c r="C39" s="324">
        <v>1953</v>
      </c>
      <c r="D39" s="324">
        <v>520</v>
      </c>
      <c r="E39" s="324" t="s">
        <v>430</v>
      </c>
      <c r="F39" s="324">
        <v>13400</v>
      </c>
      <c r="G39" s="324">
        <v>96273</v>
      </c>
      <c r="H39" s="324">
        <v>31635</v>
      </c>
      <c r="I39" s="477">
        <v>0</v>
      </c>
      <c r="J39" s="477">
        <v>82475</v>
      </c>
      <c r="K39" s="324" t="s">
        <v>430</v>
      </c>
      <c r="L39" s="324">
        <v>20</v>
      </c>
      <c r="M39" s="324" t="s">
        <v>430</v>
      </c>
      <c r="N39" s="324">
        <v>4106</v>
      </c>
      <c r="O39" s="270" t="s">
        <v>740</v>
      </c>
    </row>
    <row r="40" spans="1:15" s="211" customFormat="1" ht="11.1" customHeight="1">
      <c r="A40" s="378" t="s">
        <v>2114</v>
      </c>
      <c r="B40" s="366"/>
      <c r="C40" s="366"/>
      <c r="D40" s="366"/>
      <c r="E40" s="366"/>
      <c r="F40" s="366"/>
      <c r="G40" s="366"/>
      <c r="H40" s="366"/>
      <c r="I40" s="368"/>
      <c r="J40" s="368"/>
      <c r="K40" s="366"/>
      <c r="L40" s="366"/>
      <c r="M40" s="366"/>
      <c r="N40" s="366"/>
      <c r="O40" s="379" t="s">
        <v>2114</v>
      </c>
    </row>
    <row r="41" spans="1:15" s="211" customFormat="1" ht="11.1" customHeight="1">
      <c r="A41" s="211" t="s">
        <v>742</v>
      </c>
      <c r="B41" s="324">
        <v>114</v>
      </c>
      <c r="C41" s="324">
        <v>3014</v>
      </c>
      <c r="D41" s="324">
        <v>758</v>
      </c>
      <c r="E41" s="324" t="s">
        <v>430</v>
      </c>
      <c r="F41" s="324">
        <v>12450</v>
      </c>
      <c r="G41" s="324">
        <v>103725</v>
      </c>
      <c r="H41" s="324">
        <v>27542</v>
      </c>
      <c r="I41" s="477">
        <v>0</v>
      </c>
      <c r="J41" s="477">
        <v>84478</v>
      </c>
      <c r="K41" s="324" t="s">
        <v>430</v>
      </c>
      <c r="L41" s="324">
        <v>1</v>
      </c>
      <c r="M41" s="324" t="s">
        <v>430</v>
      </c>
      <c r="N41" s="324">
        <v>4182</v>
      </c>
      <c r="O41" s="270" t="s">
        <v>742</v>
      </c>
    </row>
    <row r="42" spans="1:15" s="211" customFormat="1" ht="11.1" customHeight="1">
      <c r="A42" s="376" t="s">
        <v>743</v>
      </c>
      <c r="B42" s="366">
        <v>115</v>
      </c>
      <c r="C42" s="366">
        <v>3417</v>
      </c>
      <c r="D42" s="366">
        <v>482</v>
      </c>
      <c r="E42" s="366" t="s">
        <v>430</v>
      </c>
      <c r="F42" s="366">
        <v>12400</v>
      </c>
      <c r="G42" s="366">
        <v>70431</v>
      </c>
      <c r="H42" s="366">
        <v>29134</v>
      </c>
      <c r="I42" s="368">
        <v>0</v>
      </c>
      <c r="J42" s="368">
        <v>101209</v>
      </c>
      <c r="K42" s="366" t="s">
        <v>430</v>
      </c>
      <c r="L42" s="366">
        <v>0</v>
      </c>
      <c r="M42" s="366" t="s">
        <v>430</v>
      </c>
      <c r="N42" s="366">
        <v>4224</v>
      </c>
      <c r="O42" s="377" t="s">
        <v>743</v>
      </c>
    </row>
    <row r="43" spans="1:15" s="211" customFormat="1" ht="11.1" customHeight="1">
      <c r="A43" s="211" t="s">
        <v>737</v>
      </c>
      <c r="B43" s="324">
        <v>117</v>
      </c>
      <c r="C43" s="324">
        <v>4201</v>
      </c>
      <c r="D43" s="324">
        <v>600</v>
      </c>
      <c r="E43" s="324" t="s">
        <v>430</v>
      </c>
      <c r="F43" s="324">
        <v>12800</v>
      </c>
      <c r="G43" s="324">
        <v>89521</v>
      </c>
      <c r="H43" s="324">
        <v>31247</v>
      </c>
      <c r="I43" s="477">
        <v>0</v>
      </c>
      <c r="J43" s="477">
        <v>104352</v>
      </c>
      <c r="K43" s="324" t="s">
        <v>430</v>
      </c>
      <c r="L43" s="324">
        <v>0</v>
      </c>
      <c r="M43" s="324" t="s">
        <v>430</v>
      </c>
      <c r="N43" s="324">
        <v>4267</v>
      </c>
      <c r="O43" s="270" t="s">
        <v>737</v>
      </c>
    </row>
    <row r="44" spans="1:15" s="211" customFormat="1" ht="11.1" customHeight="1">
      <c r="A44" s="376" t="s">
        <v>744</v>
      </c>
      <c r="B44" s="366">
        <v>117</v>
      </c>
      <c r="C44" s="366">
        <v>4369</v>
      </c>
      <c r="D44" s="366">
        <v>511</v>
      </c>
      <c r="E44" s="366" t="s">
        <v>430</v>
      </c>
      <c r="F44" s="366">
        <v>12850</v>
      </c>
      <c r="G44" s="366">
        <v>59645</v>
      </c>
      <c r="H44" s="366">
        <v>35666</v>
      </c>
      <c r="I44" s="368">
        <v>0</v>
      </c>
      <c r="J44" s="368">
        <v>106255</v>
      </c>
      <c r="K44" s="366" t="s">
        <v>430</v>
      </c>
      <c r="L44" s="366">
        <v>0</v>
      </c>
      <c r="M44" s="366" t="s">
        <v>430</v>
      </c>
      <c r="N44" s="366">
        <v>3406</v>
      </c>
      <c r="O44" s="377" t="s">
        <v>744</v>
      </c>
    </row>
    <row r="45" spans="1:15" s="211" customFormat="1" ht="11.1" customHeight="1">
      <c r="A45" s="211" t="s">
        <v>745</v>
      </c>
      <c r="B45" s="324">
        <v>126</v>
      </c>
      <c r="C45" s="324">
        <v>2989</v>
      </c>
      <c r="D45" s="324">
        <v>508</v>
      </c>
      <c r="E45" s="324" t="s">
        <v>430</v>
      </c>
      <c r="F45" s="324">
        <v>12950</v>
      </c>
      <c r="G45" s="324">
        <v>88365</v>
      </c>
      <c r="H45" s="324">
        <v>31937</v>
      </c>
      <c r="I45" s="477">
        <v>0</v>
      </c>
      <c r="J45" s="477">
        <v>106325</v>
      </c>
      <c r="K45" s="324" t="s">
        <v>430</v>
      </c>
      <c r="L45" s="324">
        <v>0</v>
      </c>
      <c r="M45" s="324" t="s">
        <v>430</v>
      </c>
      <c r="N45" s="324">
        <v>3527</v>
      </c>
      <c r="O45" s="270" t="s">
        <v>745</v>
      </c>
    </row>
    <row r="46" spans="1:15" s="211" customFormat="1" ht="11.1" customHeight="1">
      <c r="A46" s="376" t="s">
        <v>738</v>
      </c>
      <c r="B46" s="366">
        <v>126</v>
      </c>
      <c r="C46" s="366">
        <v>3064</v>
      </c>
      <c r="D46" s="366">
        <v>544</v>
      </c>
      <c r="E46" s="366" t="s">
        <v>430</v>
      </c>
      <c r="F46" s="366">
        <v>12900</v>
      </c>
      <c r="G46" s="366">
        <v>97046</v>
      </c>
      <c r="H46" s="366">
        <v>31944</v>
      </c>
      <c r="I46" s="368">
        <v>7688</v>
      </c>
      <c r="J46" s="368">
        <v>128201</v>
      </c>
      <c r="K46" s="366" t="s">
        <v>430</v>
      </c>
      <c r="L46" s="366">
        <v>0</v>
      </c>
      <c r="M46" s="366" t="s">
        <v>430</v>
      </c>
      <c r="N46" s="366">
        <v>3648</v>
      </c>
      <c r="O46" s="377" t="s">
        <v>738</v>
      </c>
    </row>
    <row r="47" spans="1:15" s="211" customFormat="1" ht="11.1" customHeight="1">
      <c r="A47" s="211" t="s">
        <v>746</v>
      </c>
      <c r="B47" s="324">
        <v>126</v>
      </c>
      <c r="C47" s="324">
        <v>3083</v>
      </c>
      <c r="D47" s="324">
        <v>609</v>
      </c>
      <c r="E47" s="324" t="s">
        <v>430</v>
      </c>
      <c r="F47" s="324">
        <v>12800</v>
      </c>
      <c r="G47" s="324">
        <v>77784</v>
      </c>
      <c r="H47" s="324">
        <v>28438</v>
      </c>
      <c r="I47" s="477">
        <v>19747</v>
      </c>
      <c r="J47" s="477">
        <v>73596</v>
      </c>
      <c r="K47" s="324" t="s">
        <v>430</v>
      </c>
      <c r="L47" s="324">
        <v>0</v>
      </c>
      <c r="M47" s="324" t="s">
        <v>430</v>
      </c>
      <c r="N47" s="324">
        <v>3655</v>
      </c>
      <c r="O47" s="270" t="s">
        <v>746</v>
      </c>
    </row>
    <row r="48" spans="1:15" s="211" customFormat="1" ht="11.1" customHeight="1">
      <c r="A48" s="376" t="s">
        <v>747</v>
      </c>
      <c r="B48" s="366">
        <v>126</v>
      </c>
      <c r="C48" s="366">
        <v>3117</v>
      </c>
      <c r="D48" s="366">
        <v>400</v>
      </c>
      <c r="E48" s="366" t="s">
        <v>430</v>
      </c>
      <c r="F48" s="366">
        <v>12900</v>
      </c>
      <c r="G48" s="366">
        <v>78607</v>
      </c>
      <c r="H48" s="366">
        <v>33831</v>
      </c>
      <c r="I48" s="368">
        <v>14179</v>
      </c>
      <c r="J48" s="368">
        <v>72823</v>
      </c>
      <c r="K48" s="366" t="s">
        <v>430</v>
      </c>
      <c r="L48" s="366">
        <v>0</v>
      </c>
      <c r="M48" s="366" t="s">
        <v>430</v>
      </c>
      <c r="N48" s="366">
        <v>3665</v>
      </c>
      <c r="O48" s="377" t="s">
        <v>747</v>
      </c>
    </row>
    <row r="49" spans="1:15" s="211" customFormat="1" ht="9.75" customHeight="1">
      <c r="A49" s="211" t="s">
        <v>739</v>
      </c>
      <c r="B49" s="324">
        <v>127</v>
      </c>
      <c r="C49" s="324">
        <v>3126</v>
      </c>
      <c r="D49" s="324">
        <v>721</v>
      </c>
      <c r="E49" s="324" t="s">
        <v>430</v>
      </c>
      <c r="F49" s="324">
        <v>12950</v>
      </c>
      <c r="G49" s="324">
        <v>90373</v>
      </c>
      <c r="H49" s="324">
        <v>26261</v>
      </c>
      <c r="I49" s="477">
        <v>5797</v>
      </c>
      <c r="J49" s="477">
        <v>106633</v>
      </c>
      <c r="K49" s="324" t="s">
        <v>430</v>
      </c>
      <c r="L49" s="324">
        <v>0</v>
      </c>
      <c r="M49" s="324" t="s">
        <v>430</v>
      </c>
      <c r="N49" s="324">
        <v>3675</v>
      </c>
      <c r="O49" s="270" t="s">
        <v>739</v>
      </c>
    </row>
    <row r="50" spans="1:15" s="211" customFormat="1" ht="9.75" customHeight="1" thickBot="1">
      <c r="A50" s="419" t="s">
        <v>748</v>
      </c>
      <c r="B50" s="1059" t="s">
        <v>430</v>
      </c>
      <c r="C50" s="1059" t="s">
        <v>430</v>
      </c>
      <c r="D50" s="1059">
        <v>323</v>
      </c>
      <c r="E50" s="1059" t="s">
        <v>430</v>
      </c>
      <c r="F50" s="1059" t="s">
        <v>430</v>
      </c>
      <c r="G50" s="1059" t="s">
        <v>430</v>
      </c>
      <c r="H50" s="1059" t="s">
        <v>430</v>
      </c>
      <c r="I50" s="1600" t="s">
        <v>430</v>
      </c>
      <c r="J50" s="1600">
        <v>117564</v>
      </c>
      <c r="K50" s="1059" t="s">
        <v>430</v>
      </c>
      <c r="L50" s="1059">
        <v>0</v>
      </c>
      <c r="M50" s="1059" t="s">
        <v>430</v>
      </c>
      <c r="N50" s="1059" t="s">
        <v>430</v>
      </c>
      <c r="O50" s="675" t="s">
        <v>748</v>
      </c>
    </row>
    <row r="51" spans="1:15" s="211" customFormat="1" ht="9.75" customHeight="1">
      <c r="B51" s="324"/>
      <c r="C51" s="324"/>
      <c r="D51" s="35"/>
      <c r="E51" s="324"/>
      <c r="F51" s="324"/>
      <c r="G51" s="324"/>
      <c r="H51" s="324"/>
      <c r="I51" s="477"/>
      <c r="J51" s="69"/>
      <c r="K51" s="35"/>
      <c r="L51" s="35"/>
      <c r="M51" s="324"/>
      <c r="N51" s="324"/>
      <c r="O51" s="270"/>
    </row>
    <row r="52" spans="1:15" s="354" customFormat="1" ht="9.9499999999999993" customHeight="1">
      <c r="A52" s="578" t="s">
        <v>943</v>
      </c>
      <c r="B52" s="2051" t="s">
        <v>1813</v>
      </c>
      <c r="C52" s="2051"/>
      <c r="D52" s="2051"/>
      <c r="E52" s="210"/>
      <c r="F52" s="1177"/>
      <c r="G52" s="210"/>
      <c r="H52" s="579" t="s">
        <v>272</v>
      </c>
      <c r="I52" s="2050" t="s">
        <v>1835</v>
      </c>
      <c r="J52" s="2050"/>
      <c r="K52" s="2050"/>
      <c r="L52" s="2050"/>
      <c r="M52" s="2050"/>
      <c r="N52" s="2050"/>
    </row>
    <row r="53" spans="1:15" s="354" customFormat="1" ht="9.9499999999999993" customHeight="1">
      <c r="A53" s="210" t="s">
        <v>834</v>
      </c>
      <c r="B53" s="2052" t="s">
        <v>1814</v>
      </c>
      <c r="C53" s="2052"/>
      <c r="D53" s="2052"/>
      <c r="E53" s="2052"/>
      <c r="F53" s="580"/>
      <c r="G53" s="580"/>
      <c r="H53" s="580"/>
      <c r="I53" s="2051" t="s">
        <v>1836</v>
      </c>
      <c r="J53" s="2051"/>
      <c r="K53" s="2051"/>
      <c r="L53" s="2051"/>
      <c r="M53" s="2051"/>
      <c r="N53" s="2051"/>
    </row>
    <row r="54" spans="1:15" s="354" customFormat="1" ht="9.9499999999999993" customHeight="1">
      <c r="A54" s="580" t="s">
        <v>273</v>
      </c>
      <c r="B54" s="2052" t="s">
        <v>1815</v>
      </c>
      <c r="C54" s="2052"/>
      <c r="D54" s="2052"/>
      <c r="E54" s="2052"/>
      <c r="F54" s="580"/>
      <c r="G54" s="580"/>
      <c r="H54" s="580"/>
      <c r="I54" s="2052" t="s">
        <v>1837</v>
      </c>
      <c r="J54" s="2052"/>
      <c r="K54" s="2052"/>
      <c r="L54" s="2052"/>
      <c r="M54" s="2052"/>
      <c r="N54" s="2052"/>
    </row>
    <row r="55" spans="1:15" s="354" customFormat="1" ht="9.9499999999999993" customHeight="1">
      <c r="A55" s="580" t="s">
        <v>274</v>
      </c>
      <c r="B55" s="2052" t="s">
        <v>1816</v>
      </c>
      <c r="C55" s="2052"/>
      <c r="D55" s="2052"/>
      <c r="E55" s="2052"/>
      <c r="F55" s="2052"/>
      <c r="G55" s="2052"/>
      <c r="H55" s="580"/>
      <c r="I55" s="2052" t="s">
        <v>1838</v>
      </c>
      <c r="J55" s="2052"/>
      <c r="K55" s="2052"/>
      <c r="L55" s="2052"/>
      <c r="M55" s="2052"/>
      <c r="N55" s="2052"/>
    </row>
    <row r="56" spans="1:15" s="354" customFormat="1" ht="9.9499999999999993" customHeight="1">
      <c r="A56" s="580" t="s">
        <v>275</v>
      </c>
      <c r="B56" s="2052" t="s">
        <v>1817</v>
      </c>
      <c r="C56" s="2052"/>
      <c r="D56" s="580"/>
      <c r="E56" s="580"/>
      <c r="F56" s="580"/>
      <c r="G56" s="580"/>
      <c r="H56" s="580"/>
      <c r="I56" s="14" t="s">
        <v>267</v>
      </c>
      <c r="J56" s="14"/>
    </row>
    <row r="58" spans="1:15">
      <c r="C58" s="1182"/>
      <c r="D58" s="1182"/>
    </row>
    <row r="59" spans="1:15">
      <c r="C59" s="1182"/>
      <c r="D59" s="1182"/>
      <c r="E59" s="1182"/>
      <c r="F59" s="1182"/>
    </row>
    <row r="60" spans="1:15" ht="9.75" customHeight="1">
      <c r="C60" s="1182"/>
      <c r="D60" s="1182"/>
      <c r="E60" s="1182"/>
      <c r="F60" s="1182"/>
    </row>
    <row r="61" spans="1:15">
      <c r="B61" s="1182"/>
      <c r="C61" s="1182"/>
    </row>
    <row r="63" spans="1:15">
      <c r="B63" s="1182"/>
    </row>
  </sheetData>
  <mergeCells count="14">
    <mergeCell ref="B56:C56"/>
    <mergeCell ref="B55:G55"/>
    <mergeCell ref="B54:E54"/>
    <mergeCell ref="B53:E53"/>
    <mergeCell ref="B52:D52"/>
    <mergeCell ref="A3:A4"/>
    <mergeCell ref="C1:G1"/>
    <mergeCell ref="I52:N52"/>
    <mergeCell ref="I53:N53"/>
    <mergeCell ref="I55:N55"/>
    <mergeCell ref="I54:N54"/>
    <mergeCell ref="H2:J2"/>
    <mergeCell ref="N1:O1"/>
    <mergeCell ref="O3:O4"/>
  </mergeCells>
  <phoneticPr fontId="4" type="noConversion"/>
  <pageMargins left="0.62992125984251968" right="0.39370078740157483" top="0.51180993000874886" bottom="0.51180993000874886" header="0" footer="0.51333333333333331"/>
  <pageSetup paperSize="448" firstPageNumber="40" orientation="portrait" useFirstPageNumber="1" r:id="rId1"/>
  <headerFooter alignWithMargins="0">
    <oddFooter>&amp;C&amp;"Times New Roman,Regular"&amp;8&amp;P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8"/>
  <dimension ref="A1:Q62"/>
  <sheetViews>
    <sheetView zoomScale="150" zoomScaleNormal="150" workbookViewId="0">
      <pane xSplit="1" ySplit="6" topLeftCell="B48" activePane="bottomRight" state="frozen"/>
      <selection activeCell="F85" sqref="F85"/>
      <selection pane="topRight" activeCell="F85" sqref="F85"/>
      <selection pane="bottomLeft" activeCell="F85" sqref="F85"/>
      <selection pane="bottomRight" activeCell="M61" sqref="M61"/>
    </sheetView>
  </sheetViews>
  <sheetFormatPr defaultColWidth="9.140625" defaultRowHeight="11.25"/>
  <cols>
    <col min="1" max="1" width="10.140625" style="19" customWidth="1"/>
    <col min="2" max="2" width="7.140625" style="8" customWidth="1"/>
    <col min="3" max="3" width="6.7109375" style="8" customWidth="1"/>
    <col min="4" max="4" width="7.42578125" style="8" customWidth="1"/>
    <col min="5" max="5" width="7.7109375" style="8" customWidth="1"/>
    <col min="6" max="6" width="8.140625" style="8" customWidth="1"/>
    <col min="7" max="7" width="8.42578125" style="8" customWidth="1"/>
    <col min="8" max="8" width="7.7109375" style="8" customWidth="1"/>
    <col min="9" max="9" width="7.28515625" style="8" customWidth="1"/>
    <col min="10" max="10" width="8.28515625" style="8" customWidth="1"/>
    <col min="11" max="11" width="9.7109375" style="8" customWidth="1"/>
    <col min="12" max="12" width="9.85546875" style="8" customWidth="1"/>
    <col min="13" max="13" width="10.7109375" style="8" customWidth="1"/>
    <col min="14" max="14" width="10.85546875" style="8" customWidth="1"/>
    <col min="15" max="15" width="10.42578125" style="8" customWidth="1"/>
    <col min="16" max="16" width="13.85546875" style="8" customWidth="1"/>
    <col min="17" max="17" width="10.85546875" style="8" customWidth="1"/>
    <col min="18" max="16384" width="9.140625" style="8"/>
  </cols>
  <sheetData>
    <row r="1" spans="1:17" s="28" customFormat="1" ht="15.75" customHeight="1">
      <c r="B1" s="64"/>
      <c r="C1" s="64"/>
      <c r="D1" s="2040" t="s">
        <v>1680</v>
      </c>
      <c r="E1" s="2040"/>
      <c r="F1" s="2040"/>
      <c r="G1" s="2040"/>
      <c r="H1" s="2040"/>
      <c r="I1" s="2040"/>
      <c r="J1" s="2040"/>
      <c r="K1" s="2065" t="s">
        <v>466</v>
      </c>
      <c r="L1" s="2065"/>
      <c r="M1" s="2065"/>
      <c r="N1" s="2065"/>
      <c r="O1" s="2065"/>
      <c r="P1" s="2040" t="s">
        <v>1445</v>
      </c>
      <c r="Q1" s="2040"/>
    </row>
    <row r="2" spans="1:17" s="25" customFormat="1" ht="11.25" customHeight="1">
      <c r="B2" s="11"/>
      <c r="F2" s="11"/>
      <c r="G2" s="2061"/>
      <c r="H2" s="2061"/>
      <c r="I2" s="2061"/>
      <c r="J2" s="2061"/>
      <c r="K2" s="814"/>
      <c r="L2" s="11"/>
      <c r="M2" s="11"/>
      <c r="N2" s="11"/>
      <c r="O2" s="11"/>
      <c r="P2" s="11"/>
      <c r="Q2" s="11"/>
    </row>
    <row r="3" spans="1:17" s="98" customFormat="1" ht="12" customHeight="1">
      <c r="A3" s="2059" t="s">
        <v>663</v>
      </c>
      <c r="B3" s="873" t="s">
        <v>683</v>
      </c>
      <c r="C3" s="2057" t="s">
        <v>685</v>
      </c>
      <c r="D3" s="2058"/>
      <c r="E3" s="873" t="s">
        <v>683</v>
      </c>
      <c r="F3" s="2057" t="s">
        <v>94</v>
      </c>
      <c r="G3" s="2058"/>
      <c r="H3" s="873" t="s">
        <v>683</v>
      </c>
      <c r="I3" s="2057" t="s">
        <v>95</v>
      </c>
      <c r="J3" s="2058"/>
      <c r="K3" s="2057" t="s">
        <v>216</v>
      </c>
      <c r="L3" s="2062"/>
      <c r="M3" s="2062"/>
      <c r="N3" s="2062"/>
      <c r="O3" s="2062"/>
      <c r="P3" s="2062"/>
      <c r="Q3" s="2058"/>
    </row>
    <row r="4" spans="1:17" s="98" customFormat="1" ht="12.75" customHeight="1">
      <c r="A4" s="2019"/>
      <c r="B4" s="2071" t="s">
        <v>684</v>
      </c>
      <c r="C4" s="2060" t="s">
        <v>96</v>
      </c>
      <c r="D4" s="2055" t="s">
        <v>97</v>
      </c>
      <c r="E4" s="2060" t="s">
        <v>680</v>
      </c>
      <c r="F4" s="2055" t="s">
        <v>96</v>
      </c>
      <c r="G4" s="2060" t="s">
        <v>97</v>
      </c>
      <c r="H4" s="2055" t="s">
        <v>389</v>
      </c>
      <c r="I4" s="2060" t="s">
        <v>112</v>
      </c>
      <c r="J4" s="2060" t="s">
        <v>97</v>
      </c>
      <c r="K4" s="2059" t="s">
        <v>19</v>
      </c>
      <c r="L4" s="2066" t="s">
        <v>20</v>
      </c>
      <c r="M4" s="2063" t="s">
        <v>1159</v>
      </c>
      <c r="N4" s="2063" t="s">
        <v>1681</v>
      </c>
      <c r="O4" s="2063" t="s">
        <v>390</v>
      </c>
      <c r="P4" s="2064" t="s">
        <v>391</v>
      </c>
      <c r="Q4" s="2063" t="s">
        <v>1160</v>
      </c>
    </row>
    <row r="5" spans="1:17" s="98" customFormat="1" ht="24.75" customHeight="1">
      <c r="A5" s="2019"/>
      <c r="B5" s="2072"/>
      <c r="C5" s="2060"/>
      <c r="D5" s="2056"/>
      <c r="E5" s="2060"/>
      <c r="F5" s="2056"/>
      <c r="G5" s="2060"/>
      <c r="H5" s="2056"/>
      <c r="I5" s="2060"/>
      <c r="J5" s="2060"/>
      <c r="K5" s="2020"/>
      <c r="L5" s="2066"/>
      <c r="M5" s="2063"/>
      <c r="N5" s="2063"/>
      <c r="O5" s="2063"/>
      <c r="P5" s="2064"/>
      <c r="Q5" s="2063"/>
    </row>
    <row r="6" spans="1:17" ht="11.1" customHeight="1">
      <c r="A6" s="104" t="s">
        <v>751</v>
      </c>
      <c r="B6" s="874">
        <v>100</v>
      </c>
      <c r="C6" s="2069" t="s">
        <v>164</v>
      </c>
      <c r="D6" s="2070"/>
      <c r="E6" s="874">
        <v>56.18</v>
      </c>
      <c r="F6" s="2068" t="s">
        <v>164</v>
      </c>
      <c r="G6" s="2068"/>
      <c r="H6" s="874">
        <v>43.82</v>
      </c>
      <c r="I6" s="2068" t="s">
        <v>164</v>
      </c>
      <c r="J6" s="2068"/>
      <c r="K6" s="874">
        <v>6.84</v>
      </c>
      <c r="L6" s="874">
        <v>14.88</v>
      </c>
      <c r="M6" s="874">
        <v>4.7300000000000004</v>
      </c>
      <c r="N6" s="874">
        <v>3.47</v>
      </c>
      <c r="O6" s="874">
        <v>5.8</v>
      </c>
      <c r="P6" s="874">
        <v>4.28</v>
      </c>
      <c r="Q6" s="874">
        <v>3.82</v>
      </c>
    </row>
    <row r="7" spans="1:17" s="343" customFormat="1" ht="11.45" customHeight="1">
      <c r="A7" s="307" t="s">
        <v>1107</v>
      </c>
      <c r="B7" s="16">
        <v>181.72583333333333</v>
      </c>
      <c r="C7" s="36">
        <v>8.0500000000000007</v>
      </c>
      <c r="D7" s="36">
        <v>6.78</v>
      </c>
      <c r="E7" s="16">
        <v>193.23666666666665</v>
      </c>
      <c r="F7" s="36">
        <v>8.26</v>
      </c>
      <c r="G7" s="36">
        <v>5.22</v>
      </c>
      <c r="H7" s="16">
        <v>166.96916666666667</v>
      </c>
      <c r="I7" s="16">
        <v>7.75</v>
      </c>
      <c r="J7" s="16">
        <v>9.17</v>
      </c>
      <c r="K7" s="16">
        <v>179.65833333333333</v>
      </c>
      <c r="L7" s="16">
        <v>155.61333333333334</v>
      </c>
      <c r="M7" s="16">
        <v>195.33166666666671</v>
      </c>
      <c r="N7" s="16">
        <v>159.6575</v>
      </c>
      <c r="O7" s="16">
        <v>159.33833333333334</v>
      </c>
      <c r="P7" s="16">
        <v>157.23416666666671</v>
      </c>
      <c r="Q7" s="16">
        <v>182.53750000000002</v>
      </c>
    </row>
    <row r="8" spans="1:17" s="101" customFormat="1" ht="11.45" customHeight="1">
      <c r="A8" s="376" t="s">
        <v>1347</v>
      </c>
      <c r="B8" s="372">
        <v>195.08250000000001</v>
      </c>
      <c r="C8" s="372">
        <v>6.97</v>
      </c>
      <c r="D8" s="372">
        <v>7.35</v>
      </c>
      <c r="E8" s="372">
        <v>209.79083333333335</v>
      </c>
      <c r="F8" s="372">
        <v>8</v>
      </c>
      <c r="G8" s="370">
        <v>8.57</v>
      </c>
      <c r="H8" s="372">
        <v>176.22416666666666</v>
      </c>
      <c r="I8" s="372">
        <v>5.45</v>
      </c>
      <c r="J8" s="372">
        <v>5.54</v>
      </c>
      <c r="K8" s="372">
        <v>194.76499999999999</v>
      </c>
      <c r="L8" s="372">
        <v>163.47083333333333</v>
      </c>
      <c r="M8" s="372">
        <v>206.13583333333338</v>
      </c>
      <c r="N8" s="372">
        <v>164.05583333333337</v>
      </c>
      <c r="O8" s="372">
        <v>167.20250000000001</v>
      </c>
      <c r="P8" s="372">
        <v>164.38166666666666</v>
      </c>
      <c r="Q8" s="372">
        <v>193.75416666666663</v>
      </c>
    </row>
    <row r="9" spans="1:17" s="343" customFormat="1" ht="11.45" customHeight="1">
      <c r="A9" s="322" t="s">
        <v>1406</v>
      </c>
      <c r="B9" s="36">
        <v>207.57750000000001</v>
      </c>
      <c r="C9" s="36">
        <v>6.25</v>
      </c>
      <c r="D9" s="36">
        <v>6.4</v>
      </c>
      <c r="E9" s="36">
        <v>223.7883333333333</v>
      </c>
      <c r="F9" s="36">
        <v>6.32</v>
      </c>
      <c r="G9" s="35">
        <v>6.67</v>
      </c>
      <c r="H9" s="36">
        <v>186.785</v>
      </c>
      <c r="I9" s="36">
        <v>6.15</v>
      </c>
      <c r="J9" s="36">
        <v>5.99</v>
      </c>
      <c r="K9" s="36">
        <v>209.44583333333333</v>
      </c>
      <c r="L9" s="36">
        <v>171.79583333333335</v>
      </c>
      <c r="M9" s="36">
        <v>214.44333333333336</v>
      </c>
      <c r="N9" s="36">
        <v>181.09000000000003</v>
      </c>
      <c r="O9" s="36">
        <v>181.77833333333331</v>
      </c>
      <c r="P9" s="36">
        <v>168.02416666666667</v>
      </c>
      <c r="Q9" s="36">
        <v>204.20583333333332</v>
      </c>
    </row>
    <row r="10" spans="1:17" s="101" customFormat="1" ht="11.45" customHeight="1">
      <c r="A10" s="399" t="s">
        <v>1560</v>
      </c>
      <c r="B10" s="372">
        <v>219.85833333333335</v>
      </c>
      <c r="C10" s="372">
        <v>5.53</v>
      </c>
      <c r="D10" s="372">
        <v>5.92</v>
      </c>
      <c r="E10" s="372">
        <v>234.77166666666668</v>
      </c>
      <c r="F10" s="372">
        <v>4.2300000000000004</v>
      </c>
      <c r="G10" s="372">
        <v>4.91</v>
      </c>
      <c r="H10" s="372">
        <v>200.73749999999998</v>
      </c>
      <c r="I10" s="372">
        <v>7.5</v>
      </c>
      <c r="J10" s="372">
        <v>7.47</v>
      </c>
      <c r="K10" s="372">
        <v>233.52</v>
      </c>
      <c r="L10" s="372">
        <v>182.75</v>
      </c>
      <c r="M10" s="372">
        <v>227.5325</v>
      </c>
      <c r="N10" s="372">
        <v>200.02916666666667</v>
      </c>
      <c r="O10" s="372">
        <v>201.59583333333333</v>
      </c>
      <c r="P10" s="372">
        <v>171.00583333333336</v>
      </c>
      <c r="Q10" s="372">
        <v>211.61166666666665</v>
      </c>
    </row>
    <row r="11" spans="1:17" s="343" customFormat="1" ht="11.45" customHeight="1">
      <c r="A11" s="322" t="s">
        <v>1608</v>
      </c>
      <c r="B11" s="36">
        <v>231.81916666666666</v>
      </c>
      <c r="C11" s="36">
        <v>5.94</v>
      </c>
      <c r="D11" s="36">
        <v>5.44</v>
      </c>
      <c r="E11" s="36">
        <v>248.89999999999998</v>
      </c>
      <c r="F11" s="36">
        <v>7.51</v>
      </c>
      <c r="G11" s="36">
        <v>6.02</v>
      </c>
      <c r="H11" s="36">
        <v>209.92083333333332</v>
      </c>
      <c r="I11" s="36">
        <v>3.67</v>
      </c>
      <c r="J11" s="36">
        <v>4.57</v>
      </c>
      <c r="K11" s="36">
        <v>243.56333333333336</v>
      </c>
      <c r="L11" s="36">
        <v>194.00750000000002</v>
      </c>
      <c r="M11" s="36">
        <v>235.8475</v>
      </c>
      <c r="N11" s="36">
        <v>206.69833333333335</v>
      </c>
      <c r="O11" s="36">
        <v>210.77666666666664</v>
      </c>
      <c r="P11" s="36">
        <v>177.55500000000004</v>
      </c>
      <c r="Q11" s="36">
        <v>217.51000000000002</v>
      </c>
    </row>
    <row r="12" spans="1:17" s="343" customFormat="1" ht="11.45" customHeight="1">
      <c r="A12" s="449" t="s">
        <v>1756</v>
      </c>
      <c r="B12" s="375">
        <v>245.22416666666666</v>
      </c>
      <c r="C12" s="375">
        <v>5.54</v>
      </c>
      <c r="D12" s="375">
        <v>5.78</v>
      </c>
      <c r="E12" s="375">
        <v>266.63833333333332</v>
      </c>
      <c r="F12" s="375">
        <v>5.98</v>
      </c>
      <c r="G12" s="375">
        <v>7.13</v>
      </c>
      <c r="H12" s="375">
        <v>217.76500000000001</v>
      </c>
      <c r="I12" s="375">
        <v>4.87</v>
      </c>
      <c r="J12" s="375">
        <v>3.73</v>
      </c>
      <c r="K12" s="375">
        <v>255.23666666666665</v>
      </c>
      <c r="L12" s="375">
        <v>200.24833333333333</v>
      </c>
      <c r="M12" s="375">
        <v>249.67583333333332</v>
      </c>
      <c r="N12" s="375">
        <v>209.2775</v>
      </c>
      <c r="O12" s="375">
        <v>218.79666666666665</v>
      </c>
      <c r="P12" s="375">
        <v>183.64916666666667</v>
      </c>
      <c r="Q12" s="375">
        <v>223.80666666666664</v>
      </c>
    </row>
    <row r="13" spans="1:17" s="213" customFormat="1" ht="11.45" customHeight="1">
      <c r="A13" s="451" t="s">
        <v>1904</v>
      </c>
      <c r="B13" s="185">
        <f>AVERAGE(B14:B25)</f>
        <v>258.64916666666664</v>
      </c>
      <c r="C13" s="185">
        <f>C25</f>
        <v>5.52</v>
      </c>
      <c r="D13" s="185">
        <f>D25</f>
        <v>5.48</v>
      </c>
      <c r="E13" s="185">
        <f>AVERAGE(E14:E25)</f>
        <v>281.32416666666666</v>
      </c>
      <c r="F13" s="185">
        <f>F25</f>
        <v>5.4</v>
      </c>
      <c r="G13" s="185">
        <f>G25</f>
        <v>5.51</v>
      </c>
      <c r="H13" s="185">
        <f>AVERAGE(H14:H25)</f>
        <v>229.57666666666663</v>
      </c>
      <c r="I13" s="185">
        <f>I25</f>
        <v>5.71</v>
      </c>
      <c r="J13" s="185">
        <f>J25</f>
        <v>5.42</v>
      </c>
      <c r="K13" s="185">
        <f t="shared" ref="K13:Q13" si="0">AVERAGE(K14:K25)</f>
        <v>277.64083333333332</v>
      </c>
      <c r="L13" s="185">
        <f t="shared" si="0"/>
        <v>206.97666666666666</v>
      </c>
      <c r="M13" s="185">
        <f t="shared" si="0"/>
        <v>265.24916666666667</v>
      </c>
      <c r="N13" s="185">
        <f t="shared" si="0"/>
        <v>215.30833333333339</v>
      </c>
      <c r="O13" s="185">
        <f t="shared" si="0"/>
        <v>235.22750000000005</v>
      </c>
      <c r="P13" s="185">
        <f t="shared" si="0"/>
        <v>186.7258333333333</v>
      </c>
      <c r="Q13" s="185">
        <f t="shared" si="0"/>
        <v>239.86916666666664</v>
      </c>
    </row>
    <row r="14" spans="1:17" s="213" customFormat="1" ht="11.45" customHeight="1">
      <c r="A14" s="399" t="s">
        <v>1609</v>
      </c>
      <c r="B14" s="372">
        <v>249.65</v>
      </c>
      <c r="C14" s="372">
        <v>5.51</v>
      </c>
      <c r="D14" s="372">
        <v>5.78</v>
      </c>
      <c r="E14" s="372">
        <v>269.91000000000003</v>
      </c>
      <c r="F14" s="372">
        <v>6.18</v>
      </c>
      <c r="G14" s="372">
        <v>7.06</v>
      </c>
      <c r="H14" s="372">
        <v>223.66</v>
      </c>
      <c r="I14" s="372">
        <v>4.49</v>
      </c>
      <c r="J14" s="372">
        <v>3.82</v>
      </c>
      <c r="K14" s="370">
        <v>270.94</v>
      </c>
      <c r="L14" s="372">
        <v>202.11</v>
      </c>
      <c r="M14" s="370">
        <v>255.79</v>
      </c>
      <c r="N14" s="372">
        <v>211.96</v>
      </c>
      <c r="O14" s="372">
        <v>226.6</v>
      </c>
      <c r="P14" s="372">
        <v>184.71</v>
      </c>
      <c r="Q14" s="372">
        <v>233.1</v>
      </c>
    </row>
    <row r="15" spans="1:17" s="213" customFormat="1" ht="11.45" customHeight="1">
      <c r="A15" s="322" t="s">
        <v>743</v>
      </c>
      <c r="B15" s="36">
        <v>253.07</v>
      </c>
      <c r="C15" s="36">
        <v>5.48</v>
      </c>
      <c r="D15" s="36">
        <v>5.74</v>
      </c>
      <c r="E15" s="36">
        <v>275.08999999999997</v>
      </c>
      <c r="F15" s="36">
        <v>5.97</v>
      </c>
      <c r="G15" s="36">
        <v>6.95</v>
      </c>
      <c r="H15" s="36">
        <v>224.84</v>
      </c>
      <c r="I15" s="36">
        <v>4.7300000000000004</v>
      </c>
      <c r="J15" s="36">
        <v>3.9</v>
      </c>
      <c r="K15" s="35">
        <v>272.39</v>
      </c>
      <c r="L15" s="36">
        <v>202.59</v>
      </c>
      <c r="M15" s="35">
        <v>257.76</v>
      </c>
      <c r="N15" s="36">
        <v>213.34</v>
      </c>
      <c r="O15" s="36">
        <v>229.48</v>
      </c>
      <c r="P15" s="36">
        <v>184.82</v>
      </c>
      <c r="Q15" s="36">
        <v>233.94</v>
      </c>
    </row>
    <row r="16" spans="1:17" s="213" customFormat="1" ht="11.45" customHeight="1">
      <c r="A16" s="399" t="s">
        <v>737</v>
      </c>
      <c r="B16" s="372">
        <v>257.62</v>
      </c>
      <c r="C16" s="372">
        <v>5.43</v>
      </c>
      <c r="D16" s="372">
        <v>5.68</v>
      </c>
      <c r="E16" s="372">
        <v>281.86</v>
      </c>
      <c r="F16" s="372">
        <v>5.42</v>
      </c>
      <c r="G16" s="372">
        <v>6.74</v>
      </c>
      <c r="H16" s="372">
        <v>226.54</v>
      </c>
      <c r="I16" s="372">
        <v>5.45</v>
      </c>
      <c r="J16" s="372">
        <v>4.07</v>
      </c>
      <c r="K16" s="370">
        <v>273.56</v>
      </c>
      <c r="L16" s="372">
        <v>203.56</v>
      </c>
      <c r="M16" s="370">
        <v>262.51</v>
      </c>
      <c r="N16" s="372">
        <v>214.29</v>
      </c>
      <c r="O16" s="372">
        <v>232.09</v>
      </c>
      <c r="P16" s="372">
        <v>185.01</v>
      </c>
      <c r="Q16" s="372">
        <v>236.64</v>
      </c>
    </row>
    <row r="17" spans="1:17" s="213" customFormat="1" ht="11.45" customHeight="1">
      <c r="A17" s="322" t="s">
        <v>744</v>
      </c>
      <c r="B17" s="36">
        <v>259.13</v>
      </c>
      <c r="C17" s="36">
        <v>5.4</v>
      </c>
      <c r="D17" s="36">
        <v>5.63</v>
      </c>
      <c r="E17" s="36">
        <v>283.44</v>
      </c>
      <c r="F17" s="36">
        <v>5.08</v>
      </c>
      <c r="G17" s="36">
        <v>6.52</v>
      </c>
      <c r="H17" s="36">
        <v>227.96</v>
      </c>
      <c r="I17" s="36">
        <v>5.9</v>
      </c>
      <c r="J17" s="36">
        <v>4.26</v>
      </c>
      <c r="K17" s="35">
        <v>275.01</v>
      </c>
      <c r="L17" s="36">
        <v>204.49</v>
      </c>
      <c r="M17" s="36">
        <v>265.5</v>
      </c>
      <c r="N17" s="36">
        <v>214.82</v>
      </c>
      <c r="O17" s="36">
        <v>234.21</v>
      </c>
      <c r="P17" s="36">
        <v>185.29</v>
      </c>
      <c r="Q17" s="36">
        <v>239.03</v>
      </c>
    </row>
    <row r="18" spans="1:17" s="213" customFormat="1" ht="11.45" customHeight="1">
      <c r="A18" s="399" t="s">
        <v>745</v>
      </c>
      <c r="B18" s="372">
        <v>258</v>
      </c>
      <c r="C18" s="372">
        <v>5.37</v>
      </c>
      <c r="D18" s="372">
        <v>5.58</v>
      </c>
      <c r="E18" s="372">
        <v>281.24</v>
      </c>
      <c r="F18" s="372">
        <v>5.29</v>
      </c>
      <c r="G18" s="372">
        <v>6.37</v>
      </c>
      <c r="H18" s="372">
        <v>228.21</v>
      </c>
      <c r="I18" s="372">
        <v>5.49</v>
      </c>
      <c r="J18" s="372">
        <v>4.38</v>
      </c>
      <c r="K18" s="370">
        <v>275.45999999999998</v>
      </c>
      <c r="L18" s="372">
        <v>204.77</v>
      </c>
      <c r="M18" s="372">
        <v>265.68</v>
      </c>
      <c r="N18" s="372">
        <v>214.91</v>
      </c>
      <c r="O18" s="372">
        <v>234.47</v>
      </c>
      <c r="P18" s="372">
        <v>185.35</v>
      </c>
      <c r="Q18" s="372">
        <v>239.18</v>
      </c>
    </row>
    <row r="19" spans="1:17" s="213" customFormat="1" ht="11.45" customHeight="1">
      <c r="A19" s="322" t="s">
        <v>738</v>
      </c>
      <c r="B19" s="36">
        <v>258.13</v>
      </c>
      <c r="C19" s="36">
        <v>5.35</v>
      </c>
      <c r="D19" s="36">
        <v>5.55</v>
      </c>
      <c r="E19" s="36">
        <v>281.17</v>
      </c>
      <c r="F19" s="36">
        <v>5.28</v>
      </c>
      <c r="G19" s="36">
        <v>6.2108449889663131</v>
      </c>
      <c r="H19" s="36">
        <v>228.6</v>
      </c>
      <c r="I19" s="36">
        <v>5.45</v>
      </c>
      <c r="J19" s="36">
        <v>4.5113456073534675</v>
      </c>
      <c r="K19" s="35">
        <v>275.85000000000002</v>
      </c>
      <c r="L19" s="36">
        <v>205.26</v>
      </c>
      <c r="M19" s="36">
        <v>265.97000000000003</v>
      </c>
      <c r="N19" s="36">
        <v>215.17</v>
      </c>
      <c r="O19" s="36">
        <v>235.17</v>
      </c>
      <c r="P19" s="36">
        <v>185.41</v>
      </c>
      <c r="Q19" s="36">
        <v>239.33</v>
      </c>
    </row>
    <row r="20" spans="1:17" s="213" customFormat="1" ht="11.45" customHeight="1">
      <c r="A20" s="399" t="s">
        <v>746</v>
      </c>
      <c r="B20" s="372">
        <v>261.58</v>
      </c>
      <c r="C20" s="372">
        <v>5.42</v>
      </c>
      <c r="D20" s="372">
        <v>5.51</v>
      </c>
      <c r="E20" s="372">
        <v>285.5</v>
      </c>
      <c r="F20" s="372">
        <v>5.33</v>
      </c>
      <c r="G20" s="372">
        <v>6.02</v>
      </c>
      <c r="H20" s="372">
        <v>230.91</v>
      </c>
      <c r="I20" s="372">
        <v>5.57</v>
      </c>
      <c r="J20" s="372">
        <v>4.71</v>
      </c>
      <c r="K20" s="370">
        <v>277.56</v>
      </c>
      <c r="L20" s="372">
        <v>209.66</v>
      </c>
      <c r="M20" s="372">
        <v>266.24</v>
      </c>
      <c r="N20" s="372">
        <v>216.04</v>
      </c>
      <c r="O20" s="372">
        <v>235.83</v>
      </c>
      <c r="P20" s="372">
        <v>188.11</v>
      </c>
      <c r="Q20" s="372">
        <v>240.53</v>
      </c>
    </row>
    <row r="21" spans="1:17" s="213" customFormat="1" ht="11.45" customHeight="1">
      <c r="A21" s="322" t="s">
        <v>747</v>
      </c>
      <c r="B21" s="36">
        <v>261.36</v>
      </c>
      <c r="C21" s="36">
        <v>5.47</v>
      </c>
      <c r="D21" s="36">
        <v>5.49</v>
      </c>
      <c r="E21" s="36">
        <v>284.95999999999998</v>
      </c>
      <c r="F21" s="36">
        <v>5.44</v>
      </c>
      <c r="G21" s="36">
        <v>5.87</v>
      </c>
      <c r="H21" s="36">
        <v>231.1</v>
      </c>
      <c r="I21" s="36">
        <v>5.51</v>
      </c>
      <c r="J21" s="36">
        <v>4.8899999999999997</v>
      </c>
      <c r="K21" s="35">
        <v>277.68</v>
      </c>
      <c r="L21" s="36">
        <v>209.72</v>
      </c>
      <c r="M21" s="36">
        <v>266.35000000000002</v>
      </c>
      <c r="N21" s="36">
        <v>216.08</v>
      </c>
      <c r="O21" s="36">
        <v>236.23</v>
      </c>
      <c r="P21" s="36">
        <v>188.14</v>
      </c>
      <c r="Q21" s="36">
        <v>241.42</v>
      </c>
    </row>
    <row r="22" spans="1:17" s="213" customFormat="1" ht="11.45" customHeight="1">
      <c r="A22" s="399" t="s">
        <v>739</v>
      </c>
      <c r="B22" s="372">
        <v>262.45</v>
      </c>
      <c r="C22" s="372">
        <v>5.55</v>
      </c>
      <c r="D22" s="372">
        <v>5.48</v>
      </c>
      <c r="E22" s="372">
        <v>286.77999999999997</v>
      </c>
      <c r="F22" s="372">
        <v>5.72</v>
      </c>
      <c r="G22" s="372">
        <v>5.76</v>
      </c>
      <c r="H22" s="372">
        <v>231.25</v>
      </c>
      <c r="I22" s="372">
        <v>5.29</v>
      </c>
      <c r="J22" s="372">
        <v>5.03</v>
      </c>
      <c r="K22" s="370">
        <v>277.74</v>
      </c>
      <c r="L22" s="372">
        <v>209.77</v>
      </c>
      <c r="M22" s="372">
        <v>266.57</v>
      </c>
      <c r="N22" s="372">
        <v>216.18</v>
      </c>
      <c r="O22" s="372">
        <v>236.9</v>
      </c>
      <c r="P22" s="372">
        <v>188.16</v>
      </c>
      <c r="Q22" s="372">
        <v>241.46</v>
      </c>
    </row>
    <row r="23" spans="1:17" s="213" customFormat="1" ht="11.45" customHeight="1">
      <c r="A23" s="322" t="s">
        <v>748</v>
      </c>
      <c r="B23" s="36">
        <v>262.73</v>
      </c>
      <c r="C23" s="36">
        <v>5.58</v>
      </c>
      <c r="D23" s="36">
        <v>5.47</v>
      </c>
      <c r="E23" s="36">
        <v>286.45999999999998</v>
      </c>
      <c r="F23" s="36">
        <v>5.54</v>
      </c>
      <c r="G23" s="36">
        <v>5.64</v>
      </c>
      <c r="H23" s="36">
        <v>232.31</v>
      </c>
      <c r="I23" s="36">
        <v>5.64</v>
      </c>
      <c r="J23" s="36">
        <v>5.21</v>
      </c>
      <c r="K23" s="35">
        <v>281.42</v>
      </c>
      <c r="L23" s="36">
        <v>209.84</v>
      </c>
      <c r="M23" s="36">
        <v>267.58999999999997</v>
      </c>
      <c r="N23" s="36">
        <v>216.39</v>
      </c>
      <c r="O23" s="36">
        <v>238.13</v>
      </c>
      <c r="P23" s="36">
        <v>188.47</v>
      </c>
      <c r="Q23" s="36">
        <v>243.07</v>
      </c>
    </row>
    <row r="24" spans="1:17" s="213" customFormat="1" ht="11.45" customHeight="1">
      <c r="A24" s="399" t="s">
        <v>749</v>
      </c>
      <c r="B24" s="372">
        <v>259.63</v>
      </c>
      <c r="C24" s="372">
        <v>5.63</v>
      </c>
      <c r="D24" s="372">
        <v>5.48</v>
      </c>
      <c r="E24" s="372">
        <v>279.83</v>
      </c>
      <c r="F24" s="372">
        <v>5.49</v>
      </c>
      <c r="G24" s="372">
        <v>5.55</v>
      </c>
      <c r="H24" s="372">
        <v>233.72</v>
      </c>
      <c r="I24" s="372">
        <v>5.84</v>
      </c>
      <c r="J24" s="372">
        <v>5.36</v>
      </c>
      <c r="K24" s="370">
        <v>287.06</v>
      </c>
      <c r="L24" s="372">
        <v>210.16</v>
      </c>
      <c r="M24" s="372">
        <v>267.89</v>
      </c>
      <c r="N24" s="372">
        <v>216.51</v>
      </c>
      <c r="O24" s="372">
        <v>240.86</v>
      </c>
      <c r="P24" s="372">
        <v>188.54</v>
      </c>
      <c r="Q24" s="372">
        <v>243.18</v>
      </c>
    </row>
    <row r="25" spans="1:17" s="213" customFormat="1" ht="11.45" customHeight="1">
      <c r="A25" s="322" t="s">
        <v>740</v>
      </c>
      <c r="B25" s="36">
        <v>260.44</v>
      </c>
      <c r="C25" s="36">
        <v>5.52</v>
      </c>
      <c r="D25" s="36">
        <v>5.48</v>
      </c>
      <c r="E25" s="36">
        <v>279.64999999999998</v>
      </c>
      <c r="F25" s="36">
        <v>5.4</v>
      </c>
      <c r="G25" s="36">
        <v>5.51</v>
      </c>
      <c r="H25" s="36">
        <v>235.82</v>
      </c>
      <c r="I25" s="36">
        <v>5.71</v>
      </c>
      <c r="J25" s="36">
        <v>5.42</v>
      </c>
      <c r="K25" s="35">
        <v>287.02</v>
      </c>
      <c r="L25" s="36">
        <v>211.79</v>
      </c>
      <c r="M25" s="36">
        <v>275.14</v>
      </c>
      <c r="N25" s="36">
        <v>218.01</v>
      </c>
      <c r="O25" s="36">
        <v>242.76</v>
      </c>
      <c r="P25" s="36">
        <v>188.7</v>
      </c>
      <c r="Q25" s="36">
        <v>247.55</v>
      </c>
    </row>
    <row r="26" spans="1:17" s="213" customFormat="1" ht="11.45" customHeight="1">
      <c r="A26" s="700" t="s">
        <v>2017</v>
      </c>
      <c r="B26" s="375">
        <f>AVERAGE(B27:B38)</f>
        <v>273.25666666666666</v>
      </c>
      <c r="C26" s="375">
        <f>C38</f>
        <v>6.02</v>
      </c>
      <c r="D26" s="375">
        <f>D38</f>
        <v>5.6476114685594103</v>
      </c>
      <c r="E26" s="375">
        <f>AVERAGE(E27:E38)</f>
        <v>296.85749999999996</v>
      </c>
      <c r="F26" s="375">
        <f>F38</f>
        <v>6.54</v>
      </c>
      <c r="G26" s="375">
        <f>G38</f>
        <v>5.5215069211378198</v>
      </c>
      <c r="H26" s="375">
        <f>AVERAGE(H27:H38)</f>
        <v>242.9966666666667</v>
      </c>
      <c r="I26" s="375">
        <f>I38</f>
        <v>5.22</v>
      </c>
      <c r="J26" s="375">
        <f>J38</f>
        <v>5.8455417943171106</v>
      </c>
      <c r="K26" s="375">
        <f t="shared" ref="K26:Q26" si="1">AVERAGE(K27:K38)</f>
        <v>290.00333333333339</v>
      </c>
      <c r="L26" s="375">
        <f t="shared" si="1"/>
        <v>220.70083333333335</v>
      </c>
      <c r="M26" s="375">
        <f t="shared" si="1"/>
        <v>282.67083333333329</v>
      </c>
      <c r="N26" s="375">
        <f t="shared" si="1"/>
        <v>230.07166666666669</v>
      </c>
      <c r="O26" s="375">
        <f t="shared" si="1"/>
        <v>248.48</v>
      </c>
      <c r="P26" s="375">
        <f t="shared" si="1"/>
        <v>190.13000000000002</v>
      </c>
      <c r="Q26" s="375">
        <f t="shared" si="1"/>
        <v>259.27083333333331</v>
      </c>
    </row>
    <row r="27" spans="1:17" s="213" customFormat="1" ht="11.45" customHeight="1">
      <c r="A27" s="696" t="s">
        <v>742</v>
      </c>
      <c r="B27" s="36">
        <v>263.69</v>
      </c>
      <c r="C27" s="36">
        <v>5.62</v>
      </c>
      <c r="D27" s="36">
        <v>5.48</v>
      </c>
      <c r="E27" s="36">
        <v>284.54000000000002</v>
      </c>
      <c r="F27" s="36">
        <v>5.42</v>
      </c>
      <c r="G27" s="36">
        <v>5.45</v>
      </c>
      <c r="H27" s="36">
        <v>236.95</v>
      </c>
      <c r="I27" s="36">
        <v>5.94</v>
      </c>
      <c r="J27" s="36">
        <v>5.54</v>
      </c>
      <c r="K27" s="35">
        <v>287.36</v>
      </c>
      <c r="L27" s="36">
        <v>214.54</v>
      </c>
      <c r="M27" s="36">
        <v>275.52999999999997</v>
      </c>
      <c r="N27" s="36">
        <v>218.09</v>
      </c>
      <c r="O27" s="36">
        <v>243.26</v>
      </c>
      <c r="P27" s="36">
        <v>188.78</v>
      </c>
      <c r="Q27" s="36">
        <v>247.86</v>
      </c>
    </row>
    <row r="28" spans="1:17" s="213" customFormat="1" ht="11.45" customHeight="1">
      <c r="A28" s="699" t="s">
        <v>743</v>
      </c>
      <c r="B28" s="372">
        <v>266.95999999999998</v>
      </c>
      <c r="C28" s="372">
        <v>5.49</v>
      </c>
      <c r="D28" s="372">
        <v>5.48</v>
      </c>
      <c r="E28" s="372">
        <v>289.60000000000002</v>
      </c>
      <c r="F28" s="372">
        <v>5.27</v>
      </c>
      <c r="G28" s="372">
        <v>5.39</v>
      </c>
      <c r="H28" s="372">
        <v>237.93</v>
      </c>
      <c r="I28" s="372">
        <v>5.82</v>
      </c>
      <c r="J28" s="372">
        <v>5.63</v>
      </c>
      <c r="K28" s="370">
        <v>287.98</v>
      </c>
      <c r="L28" s="372">
        <v>214.85</v>
      </c>
      <c r="M28" s="372">
        <v>276.33</v>
      </c>
      <c r="N28" s="372">
        <v>222.04</v>
      </c>
      <c r="O28" s="372">
        <v>244.13</v>
      </c>
      <c r="P28" s="372">
        <v>188.97</v>
      </c>
      <c r="Q28" s="372">
        <v>250.59</v>
      </c>
    </row>
    <row r="29" spans="1:17" s="213" customFormat="1" ht="11.45" customHeight="1">
      <c r="A29" s="322" t="s">
        <v>737</v>
      </c>
      <c r="B29" s="36">
        <v>271.89999999999998</v>
      </c>
      <c r="C29" s="36">
        <v>5.54</v>
      </c>
      <c r="D29" s="36">
        <v>5.49</v>
      </c>
      <c r="E29" s="36">
        <v>296.81</v>
      </c>
      <c r="F29" s="36">
        <v>5.3</v>
      </c>
      <c r="G29" s="36">
        <v>5.38</v>
      </c>
      <c r="H29" s="36">
        <v>239.96</v>
      </c>
      <c r="I29" s="36">
        <v>5.92</v>
      </c>
      <c r="J29" s="36">
        <v>5.67</v>
      </c>
      <c r="K29" s="36">
        <v>288.8</v>
      </c>
      <c r="L29" s="36">
        <v>215.08</v>
      </c>
      <c r="M29" s="36">
        <v>280.52999999999997</v>
      </c>
      <c r="N29" s="36">
        <v>226.8</v>
      </c>
      <c r="O29" s="36">
        <v>247.26</v>
      </c>
      <c r="P29" s="36">
        <v>189.24</v>
      </c>
      <c r="Q29" s="36">
        <v>256.99</v>
      </c>
    </row>
    <row r="30" spans="1:17" s="213" customFormat="1" ht="11.45" customHeight="1">
      <c r="A30" s="399" t="s">
        <v>744</v>
      </c>
      <c r="B30" s="372">
        <v>273.3</v>
      </c>
      <c r="C30" s="372">
        <v>5.47</v>
      </c>
      <c r="D30" s="372">
        <v>5.5004156359229839</v>
      </c>
      <c r="E30" s="372">
        <v>298.99</v>
      </c>
      <c r="F30" s="372">
        <v>5.49</v>
      </c>
      <c r="G30" s="372">
        <v>5.415074945152698</v>
      </c>
      <c r="H30" s="372">
        <v>240.38</v>
      </c>
      <c r="I30" s="372">
        <v>5.45</v>
      </c>
      <c r="J30" s="372">
        <v>5.6368186351063887</v>
      </c>
      <c r="K30" s="372">
        <v>288.89</v>
      </c>
      <c r="L30" s="372">
        <v>215.96</v>
      </c>
      <c r="M30" s="372">
        <v>280.64</v>
      </c>
      <c r="N30" s="372">
        <v>226.96</v>
      </c>
      <c r="O30" s="372">
        <v>247.48</v>
      </c>
      <c r="P30" s="372">
        <v>189.72</v>
      </c>
      <c r="Q30" s="372">
        <v>257.01</v>
      </c>
    </row>
    <row r="31" spans="1:17" s="213" customFormat="1" ht="11.45" customHeight="1">
      <c r="A31" s="322" t="s">
        <v>745</v>
      </c>
      <c r="B31" s="36">
        <v>273.60000000000002</v>
      </c>
      <c r="C31" s="36">
        <v>6.05</v>
      </c>
      <c r="D31" s="36">
        <v>5.557808386736518</v>
      </c>
      <c r="E31" s="36">
        <v>299.26</v>
      </c>
      <c r="F31" s="36">
        <v>6.41</v>
      </c>
      <c r="G31" s="36">
        <v>5.5102209159871407</v>
      </c>
      <c r="H31" s="36">
        <v>240.7</v>
      </c>
      <c r="I31" s="36">
        <v>5.47</v>
      </c>
      <c r="J31" s="36">
        <v>5.6345837563641865</v>
      </c>
      <c r="K31" s="36">
        <v>288.95</v>
      </c>
      <c r="L31" s="36">
        <v>216.26</v>
      </c>
      <c r="M31" s="36">
        <v>281.39</v>
      </c>
      <c r="N31" s="36">
        <v>227.23</v>
      </c>
      <c r="O31" s="36">
        <v>247.72</v>
      </c>
      <c r="P31" s="36">
        <v>189.79</v>
      </c>
      <c r="Q31" s="36">
        <v>257.85000000000002</v>
      </c>
    </row>
    <row r="32" spans="1:17" s="213" customFormat="1" ht="11.45" customHeight="1">
      <c r="A32" s="399" t="s">
        <v>738</v>
      </c>
      <c r="B32" s="372">
        <v>272.97000000000003</v>
      </c>
      <c r="C32" s="372">
        <v>5.75</v>
      </c>
      <c r="D32" s="372">
        <v>5.5912974987258668</v>
      </c>
      <c r="E32" s="372">
        <v>297.69</v>
      </c>
      <c r="F32" s="372">
        <v>5.88</v>
      </c>
      <c r="G32" s="372">
        <v>5.5598819700057867</v>
      </c>
      <c r="H32" s="372">
        <v>241.28</v>
      </c>
      <c r="I32" s="372">
        <v>5.55</v>
      </c>
      <c r="J32" s="372">
        <v>5.6422134693999482</v>
      </c>
      <c r="K32" s="372">
        <v>289.48</v>
      </c>
      <c r="L32" s="372">
        <v>216.33</v>
      </c>
      <c r="M32" s="372">
        <v>283.57</v>
      </c>
      <c r="N32" s="372">
        <v>227.56</v>
      </c>
      <c r="O32" s="372">
        <v>248.24</v>
      </c>
      <c r="P32" s="372">
        <v>189.91</v>
      </c>
      <c r="Q32" s="372">
        <v>259.31</v>
      </c>
    </row>
    <row r="33" spans="1:17" s="213" customFormat="1" ht="11.45" customHeight="1">
      <c r="A33" s="322" t="s">
        <v>746</v>
      </c>
      <c r="B33" s="324">
        <v>276.16000000000003</v>
      </c>
      <c r="C33" s="324">
        <v>5.57</v>
      </c>
      <c r="D33" s="325">
        <v>5.6037507701533151</v>
      </c>
      <c r="E33" s="36">
        <v>300.11</v>
      </c>
      <c r="F33" s="36">
        <v>5.12</v>
      </c>
      <c r="G33" s="36">
        <v>5.5403952449458949</v>
      </c>
      <c r="H33" s="36">
        <v>245.46</v>
      </c>
      <c r="I33" s="36">
        <v>6.3</v>
      </c>
      <c r="J33" s="36">
        <v>5.7046954946124098</v>
      </c>
      <c r="K33" s="36">
        <v>290.95</v>
      </c>
      <c r="L33" s="36">
        <v>224.99</v>
      </c>
      <c r="M33" s="36">
        <v>285.35000000000002</v>
      </c>
      <c r="N33" s="36">
        <v>232.8</v>
      </c>
      <c r="O33" s="36">
        <v>248.96</v>
      </c>
      <c r="P33" s="36">
        <v>190.66</v>
      </c>
      <c r="Q33" s="36">
        <v>262</v>
      </c>
    </row>
    <row r="34" spans="1:17" s="213" customFormat="1" ht="11.45" customHeight="1">
      <c r="A34" s="493" t="s">
        <v>747</v>
      </c>
      <c r="B34" s="366">
        <v>275.63</v>
      </c>
      <c r="C34" s="366">
        <v>5.46</v>
      </c>
      <c r="D34" s="367">
        <v>5.6024614092748948</v>
      </c>
      <c r="E34" s="367">
        <v>299.13</v>
      </c>
      <c r="F34" s="367">
        <v>4.97</v>
      </c>
      <c r="G34" s="367">
        <v>5.4995386647208377</v>
      </c>
      <c r="H34" s="367">
        <v>245.49</v>
      </c>
      <c r="I34" s="367">
        <v>6.23</v>
      </c>
      <c r="J34" s="367">
        <v>5.7653921220724103</v>
      </c>
      <c r="K34" s="367">
        <v>291</v>
      </c>
      <c r="L34" s="367">
        <v>225.06</v>
      </c>
      <c r="M34" s="367">
        <v>284.83</v>
      </c>
      <c r="N34" s="367">
        <v>232.88</v>
      </c>
      <c r="O34" s="367">
        <v>249.14</v>
      </c>
      <c r="P34" s="367">
        <v>190.69</v>
      </c>
      <c r="Q34" s="367">
        <v>262.23</v>
      </c>
    </row>
    <row r="35" spans="1:17" s="213" customFormat="1" ht="11.45" customHeight="1">
      <c r="A35" s="479" t="s">
        <v>739</v>
      </c>
      <c r="B35" s="324">
        <v>276.83</v>
      </c>
      <c r="C35" s="324">
        <v>5.48</v>
      </c>
      <c r="D35" s="325">
        <v>5.5961547252862065</v>
      </c>
      <c r="E35" s="325">
        <v>300.74</v>
      </c>
      <c r="F35" s="325">
        <v>4.87</v>
      </c>
      <c r="G35" s="325">
        <v>5.4274198147042041</v>
      </c>
      <c r="H35" s="325">
        <v>246.17</v>
      </c>
      <c r="I35" s="325">
        <v>6.45</v>
      </c>
      <c r="J35" s="325">
        <v>5.8625855297785412</v>
      </c>
      <c r="K35" s="325">
        <v>291.44</v>
      </c>
      <c r="L35" s="325">
        <v>225.93</v>
      </c>
      <c r="M35" s="325">
        <v>285.51</v>
      </c>
      <c r="N35" s="325">
        <v>233.28</v>
      </c>
      <c r="O35" s="325">
        <v>249.97</v>
      </c>
      <c r="P35" s="325">
        <v>190.92</v>
      </c>
      <c r="Q35" s="325">
        <v>263.14999999999998</v>
      </c>
    </row>
    <row r="36" spans="1:17" s="213" customFormat="1" ht="11.45" customHeight="1">
      <c r="A36" s="384" t="s">
        <v>748</v>
      </c>
      <c r="B36" s="366">
        <v>278.39</v>
      </c>
      <c r="C36" s="370">
        <v>5.96</v>
      </c>
      <c r="D36" s="372">
        <v>5.6287666512804035</v>
      </c>
      <c r="E36" s="367">
        <v>303.39</v>
      </c>
      <c r="F36" s="367">
        <v>5.91</v>
      </c>
      <c r="G36" s="367">
        <v>5.4594996728423384</v>
      </c>
      <c r="H36" s="367">
        <v>246.34</v>
      </c>
      <c r="I36" s="367">
        <v>6.04</v>
      </c>
      <c r="J36" s="367">
        <v>5.8952845051844838</v>
      </c>
      <c r="K36" s="367">
        <v>291.49</v>
      </c>
      <c r="L36" s="367">
        <v>226.04</v>
      </c>
      <c r="M36" s="367">
        <v>285.79000000000002</v>
      </c>
      <c r="N36" s="367">
        <v>233.7</v>
      </c>
      <c r="O36" s="367">
        <v>250.22</v>
      </c>
      <c r="P36" s="367">
        <v>190.96</v>
      </c>
      <c r="Q36" s="367">
        <v>263.41000000000003</v>
      </c>
    </row>
    <row r="37" spans="1:17" s="213" customFormat="1" ht="11.45" customHeight="1">
      <c r="A37" s="184" t="s">
        <v>749</v>
      </c>
      <c r="B37" s="324">
        <v>273.52999999999997</v>
      </c>
      <c r="C37" s="324">
        <v>5.35</v>
      </c>
      <c r="D37" s="325">
        <v>5.6058404553794849</v>
      </c>
      <c r="E37" s="325">
        <v>294.08</v>
      </c>
      <c r="F37" s="325">
        <v>5.09</v>
      </c>
      <c r="G37" s="325">
        <v>5.4266310087251135</v>
      </c>
      <c r="H37" s="325">
        <v>247.17</v>
      </c>
      <c r="I37" s="325">
        <v>5.75</v>
      </c>
      <c r="J37" s="325">
        <v>5.8879946320277377</v>
      </c>
      <c r="K37" s="325">
        <v>291.72000000000003</v>
      </c>
      <c r="L37" s="325">
        <v>226.3</v>
      </c>
      <c r="M37" s="325">
        <v>285.8</v>
      </c>
      <c r="N37" s="325">
        <v>239.36</v>
      </c>
      <c r="O37" s="325">
        <v>252.04</v>
      </c>
      <c r="P37" s="325">
        <v>190.96</v>
      </c>
      <c r="Q37" s="325">
        <v>263.66000000000003</v>
      </c>
    </row>
    <row r="38" spans="1:17" s="213" customFormat="1" ht="11.45" customHeight="1">
      <c r="A38" s="384" t="s">
        <v>740</v>
      </c>
      <c r="B38" s="366">
        <v>276.12</v>
      </c>
      <c r="C38" s="366">
        <v>6.02</v>
      </c>
      <c r="D38" s="367">
        <v>5.6476114685594103</v>
      </c>
      <c r="E38" s="367">
        <v>297.95</v>
      </c>
      <c r="F38" s="367">
        <v>6.54</v>
      </c>
      <c r="G38" s="367">
        <v>5.5215069211378198</v>
      </c>
      <c r="H38" s="367">
        <v>248.13</v>
      </c>
      <c r="I38" s="367">
        <v>5.22</v>
      </c>
      <c r="J38" s="367">
        <v>5.8455417943171106</v>
      </c>
      <c r="K38" s="367">
        <v>291.98</v>
      </c>
      <c r="L38" s="367">
        <v>227.07</v>
      </c>
      <c r="M38" s="367">
        <v>286.77999999999997</v>
      </c>
      <c r="N38" s="367">
        <v>240.16</v>
      </c>
      <c r="O38" s="367">
        <v>253.34</v>
      </c>
      <c r="P38" s="367">
        <v>190.96</v>
      </c>
      <c r="Q38" s="367">
        <v>267.19</v>
      </c>
    </row>
    <row r="39" spans="1:17" s="213" customFormat="1" ht="11.45" customHeight="1">
      <c r="A39" s="128" t="s">
        <v>2114</v>
      </c>
      <c r="B39" s="185">
        <f>AVERAGE(B40:B51)</f>
        <v>288.44333333333333</v>
      </c>
      <c r="C39" s="185">
        <f>C51</f>
        <v>5.64</v>
      </c>
      <c r="D39" s="185">
        <f>D51</f>
        <v>5.5576564158239528</v>
      </c>
      <c r="E39" s="185">
        <f>AVERAGE(E40:E51)</f>
        <v>313.86333333333334</v>
      </c>
      <c r="F39" s="185">
        <f>F51</f>
        <v>5.45</v>
      </c>
      <c r="G39" s="185">
        <f>G51</f>
        <v>5.7286183887331088</v>
      </c>
      <c r="H39" s="185">
        <f>AVERAGE(H40:H51)</f>
        <v>255.85166666666666</v>
      </c>
      <c r="I39" s="185">
        <f>I51</f>
        <v>5.94</v>
      </c>
      <c r="J39" s="185">
        <f>J51</f>
        <v>5.2901960246368063</v>
      </c>
      <c r="K39" s="185">
        <f t="shared" ref="K39:Q39" si="2">AVERAGE(K40:K51)</f>
        <v>298.14083333333332</v>
      </c>
      <c r="L39" s="185">
        <f t="shared" si="2"/>
        <v>228.29250000000002</v>
      </c>
      <c r="M39" s="185">
        <f t="shared" si="2"/>
        <v>298.14833333333331</v>
      </c>
      <c r="N39" s="185">
        <f t="shared" si="2"/>
        <v>247.86333333333334</v>
      </c>
      <c r="O39" s="185">
        <f t="shared" si="2"/>
        <v>271.44833333333332</v>
      </c>
      <c r="P39" s="185">
        <f t="shared" si="2"/>
        <v>193.61083333333332</v>
      </c>
      <c r="Q39" s="185">
        <f t="shared" si="2"/>
        <v>288.52833333333336</v>
      </c>
    </row>
    <row r="40" spans="1:17" s="213" customFormat="1" ht="11.45" customHeight="1">
      <c r="A40" s="384" t="s">
        <v>742</v>
      </c>
      <c r="B40" s="366">
        <v>278.27</v>
      </c>
      <c r="C40" s="366">
        <v>5.53</v>
      </c>
      <c r="D40" s="367">
        <v>5.6394992671184641</v>
      </c>
      <c r="E40" s="367">
        <v>300.75</v>
      </c>
      <c r="F40" s="367">
        <v>5.7</v>
      </c>
      <c r="G40" s="367">
        <v>5.5442822929815838</v>
      </c>
      <c r="H40" s="367">
        <v>249.46</v>
      </c>
      <c r="I40" s="367">
        <v>5.28</v>
      </c>
      <c r="J40" s="367">
        <v>5.7893006672181668</v>
      </c>
      <c r="K40" s="367">
        <v>292.2</v>
      </c>
      <c r="L40" s="367">
        <v>227.57</v>
      </c>
      <c r="M40" s="367">
        <v>288.73</v>
      </c>
      <c r="N40" s="367">
        <v>240.64</v>
      </c>
      <c r="O40" s="367">
        <v>257.25</v>
      </c>
      <c r="P40" s="367">
        <v>190.98</v>
      </c>
      <c r="Q40" s="367">
        <v>271.37</v>
      </c>
    </row>
    <row r="41" spans="1:17" s="213" customFormat="1" ht="11.45" customHeight="1">
      <c r="A41" s="184" t="s">
        <v>743</v>
      </c>
      <c r="B41" s="324">
        <v>282.11</v>
      </c>
      <c r="C41" s="324">
        <v>5.68</v>
      </c>
      <c r="D41" s="325">
        <v>5.6547200899186079</v>
      </c>
      <c r="E41" s="325">
        <v>307.2</v>
      </c>
      <c r="F41" s="325">
        <v>6.08</v>
      </c>
      <c r="G41" s="325">
        <v>5.6114043048078877</v>
      </c>
      <c r="H41" s="325">
        <v>249.95</v>
      </c>
      <c r="I41" s="325">
        <v>5.05</v>
      </c>
      <c r="J41" s="325">
        <v>5.7235824973933092</v>
      </c>
      <c r="K41" s="325">
        <v>292.29000000000002</v>
      </c>
      <c r="L41" s="325">
        <v>227.6</v>
      </c>
      <c r="M41" s="325">
        <v>291.54000000000002</v>
      </c>
      <c r="N41" s="325">
        <v>240.81</v>
      </c>
      <c r="O41" s="325">
        <v>257.58999999999997</v>
      </c>
      <c r="P41" s="325">
        <v>191.01</v>
      </c>
      <c r="Q41" s="325">
        <v>272.54000000000002</v>
      </c>
    </row>
    <row r="42" spans="1:17" s="213" customFormat="1" ht="11.45" customHeight="1">
      <c r="A42" s="384" t="s">
        <v>737</v>
      </c>
      <c r="B42" s="366">
        <v>288.12</v>
      </c>
      <c r="C42" s="366">
        <v>5.97</v>
      </c>
      <c r="D42" s="367">
        <v>5.6907183725365407</v>
      </c>
      <c r="E42" s="367">
        <v>316.11</v>
      </c>
      <c r="F42" s="367">
        <v>6.5</v>
      </c>
      <c r="G42" s="367">
        <v>5.7140685033245875</v>
      </c>
      <c r="H42" s="367">
        <v>252.24</v>
      </c>
      <c r="I42" s="367">
        <v>5.12</v>
      </c>
      <c r="J42" s="367">
        <v>5.6553071506268981</v>
      </c>
      <c r="K42" s="367">
        <v>292.42</v>
      </c>
      <c r="L42" s="367">
        <v>227.99</v>
      </c>
      <c r="M42" s="367">
        <v>293.11</v>
      </c>
      <c r="N42" s="367">
        <v>246.45</v>
      </c>
      <c r="O42" s="367">
        <v>263.02</v>
      </c>
      <c r="P42" s="367">
        <v>191.79</v>
      </c>
      <c r="Q42" s="367">
        <v>280.87</v>
      </c>
    </row>
    <row r="43" spans="1:17" s="213" customFormat="1" ht="11.45" customHeight="1">
      <c r="A43" s="184" t="s">
        <v>744</v>
      </c>
      <c r="B43" s="324">
        <v>290.91000000000003</v>
      </c>
      <c r="C43" s="324">
        <v>6.44</v>
      </c>
      <c r="D43" s="325">
        <v>5.7740564589879639</v>
      </c>
      <c r="E43" s="325">
        <v>320.94</v>
      </c>
      <c r="F43" s="325">
        <v>7.34</v>
      </c>
      <c r="G43" s="325">
        <v>5.8744938917721701</v>
      </c>
      <c r="H43" s="325">
        <v>252.4</v>
      </c>
      <c r="I43" s="325">
        <v>5</v>
      </c>
      <c r="J43" s="325">
        <v>5.616036250418599</v>
      </c>
      <c r="K43" s="325">
        <v>292.57</v>
      </c>
      <c r="L43" s="325">
        <v>228.09</v>
      </c>
      <c r="M43" s="325">
        <v>293.35000000000002</v>
      </c>
      <c r="N43" s="325">
        <v>246.54</v>
      </c>
      <c r="O43" s="325">
        <v>263.41000000000003</v>
      </c>
      <c r="P43" s="325">
        <v>191.81</v>
      </c>
      <c r="Q43" s="325">
        <v>281.05</v>
      </c>
    </row>
    <row r="44" spans="1:17" s="213" customFormat="1" ht="11.45" customHeight="1">
      <c r="A44" s="384" t="s">
        <v>745</v>
      </c>
      <c r="B44" s="366">
        <v>288.70999999999998</v>
      </c>
      <c r="C44" s="366">
        <v>5.52</v>
      </c>
      <c r="D44" s="367">
        <v>5.7302638415250406</v>
      </c>
      <c r="E44" s="367">
        <v>316.41000000000003</v>
      </c>
      <c r="F44" s="367">
        <v>5.73</v>
      </c>
      <c r="G44" s="367">
        <v>5.8186503742525542</v>
      </c>
      <c r="H44" s="367">
        <v>253.19</v>
      </c>
      <c r="I44" s="367">
        <v>5.19</v>
      </c>
      <c r="J44" s="367">
        <v>5.5911591237148173</v>
      </c>
      <c r="K44" s="367">
        <v>292.73</v>
      </c>
      <c r="L44" s="367">
        <v>228.62</v>
      </c>
      <c r="M44" s="367">
        <v>295.29000000000002</v>
      </c>
      <c r="N44" s="367">
        <v>246.77</v>
      </c>
      <c r="O44" s="367">
        <v>264.74</v>
      </c>
      <c r="P44" s="367">
        <v>191.96</v>
      </c>
      <c r="Q44" s="367">
        <v>282.91000000000003</v>
      </c>
    </row>
    <row r="45" spans="1:17" s="213" customFormat="1" ht="11.45" customHeight="1">
      <c r="A45" s="184" t="s">
        <v>738</v>
      </c>
      <c r="B45" s="324">
        <v>287.41000000000003</v>
      </c>
      <c r="C45" s="324">
        <v>5.29</v>
      </c>
      <c r="D45" s="325">
        <v>5.691074747462066</v>
      </c>
      <c r="E45" s="325">
        <v>313.58999999999997</v>
      </c>
      <c r="F45" s="325">
        <v>5.34</v>
      </c>
      <c r="G45" s="325">
        <v>5.7730823873869852</v>
      </c>
      <c r="H45" s="325">
        <v>253.85</v>
      </c>
      <c r="I45" s="325">
        <v>5.21</v>
      </c>
      <c r="J45" s="325">
        <v>5.5622442458629351</v>
      </c>
      <c r="K45" s="325">
        <v>293.08</v>
      </c>
      <c r="L45" s="325">
        <v>228.84</v>
      </c>
      <c r="M45" s="325">
        <v>295.74</v>
      </c>
      <c r="N45" s="325">
        <v>247.29</v>
      </c>
      <c r="O45" s="325">
        <v>266.32</v>
      </c>
      <c r="P45" s="325">
        <v>192.16</v>
      </c>
      <c r="Q45" s="325">
        <v>285.38</v>
      </c>
    </row>
    <row r="46" spans="1:17" s="213" customFormat="1" ht="11.45" customHeight="1">
      <c r="A46" s="384" t="s">
        <v>746</v>
      </c>
      <c r="B46" s="366">
        <v>290.02999999999997</v>
      </c>
      <c r="C46" s="366">
        <v>5.0199999999999996</v>
      </c>
      <c r="D46" s="367">
        <v>5.6430352022812658</v>
      </c>
      <c r="E46" s="367">
        <v>315.81</v>
      </c>
      <c r="F46" s="367">
        <v>5.23</v>
      </c>
      <c r="G46" s="367">
        <v>5.7801577189297015</v>
      </c>
      <c r="H46" s="367">
        <v>256.97000000000003</v>
      </c>
      <c r="I46" s="367">
        <v>4.6900000000000004</v>
      </c>
      <c r="J46" s="367">
        <v>5.4270318877640555</v>
      </c>
      <c r="K46" s="367">
        <v>301.14999999999998</v>
      </c>
      <c r="L46" s="367">
        <v>229.98</v>
      </c>
      <c r="M46" s="367">
        <v>297.45</v>
      </c>
      <c r="N46" s="367">
        <v>249.01</v>
      </c>
      <c r="O46" s="367">
        <v>269.58</v>
      </c>
      <c r="P46" s="367">
        <v>194.13</v>
      </c>
      <c r="Q46" s="367">
        <v>291.52999999999997</v>
      </c>
    </row>
    <row r="47" spans="1:17" s="213" customFormat="1" ht="11.45" customHeight="1">
      <c r="A47" s="184" t="s">
        <v>747</v>
      </c>
      <c r="B47" s="325">
        <v>290.3</v>
      </c>
      <c r="C47" s="325">
        <v>5.32</v>
      </c>
      <c r="D47" s="325">
        <v>5.6304473421008305</v>
      </c>
      <c r="E47" s="325">
        <v>315.35000000000002</v>
      </c>
      <c r="F47" s="325">
        <v>5.42</v>
      </c>
      <c r="G47" s="325">
        <v>5.815339325778468</v>
      </c>
      <c r="H47" s="325">
        <v>258.18</v>
      </c>
      <c r="I47" s="325">
        <v>5.17</v>
      </c>
      <c r="J47" s="325">
        <v>5.3403232852774041</v>
      </c>
      <c r="K47" s="325">
        <v>302.12</v>
      </c>
      <c r="L47" s="325">
        <v>229.35</v>
      </c>
      <c r="M47" s="325">
        <v>299.52999999999997</v>
      </c>
      <c r="N47" s="325">
        <v>250.79</v>
      </c>
      <c r="O47" s="325">
        <v>272.60000000000002</v>
      </c>
      <c r="P47" s="325">
        <v>195.12</v>
      </c>
      <c r="Q47" s="325">
        <v>296.14999999999998</v>
      </c>
    </row>
    <row r="48" spans="1:17" s="213" customFormat="1" ht="11.45" customHeight="1">
      <c r="A48" s="384" t="s">
        <v>739</v>
      </c>
      <c r="B48" s="367">
        <v>291.95999999999998</v>
      </c>
      <c r="C48" s="367">
        <v>5.47</v>
      </c>
      <c r="D48" s="367">
        <v>5.6286025282636043</v>
      </c>
      <c r="E48" s="367">
        <v>317.32</v>
      </c>
      <c r="F48" s="367">
        <v>5.51</v>
      </c>
      <c r="G48" s="367">
        <v>5.8668131780540422</v>
      </c>
      <c r="H48" s="367">
        <v>259.44</v>
      </c>
      <c r="I48" s="367">
        <v>5.39</v>
      </c>
      <c r="J48" s="367">
        <v>5.2552526450105441</v>
      </c>
      <c r="K48" s="367">
        <v>303.73</v>
      </c>
      <c r="L48" s="367">
        <v>229.5</v>
      </c>
      <c r="M48" s="367">
        <v>302.63</v>
      </c>
      <c r="N48" s="367">
        <v>251.13</v>
      </c>
      <c r="O48" s="367">
        <v>274.68</v>
      </c>
      <c r="P48" s="367">
        <v>195.89</v>
      </c>
      <c r="Q48" s="367">
        <v>299.06</v>
      </c>
    </row>
    <row r="49" spans="1:17" s="213" customFormat="1" ht="11.45" customHeight="1">
      <c r="A49" s="184" t="s">
        <v>748</v>
      </c>
      <c r="B49" s="325">
        <v>293.88</v>
      </c>
      <c r="C49" s="325">
        <v>5.56</v>
      </c>
      <c r="D49" s="325">
        <v>5.5962455762425423</v>
      </c>
      <c r="E49" s="325">
        <v>320.27999999999997</v>
      </c>
      <c r="F49" s="325">
        <v>5.57</v>
      </c>
      <c r="G49" s="325">
        <v>5.8375404420722088</v>
      </c>
      <c r="H49" s="325">
        <v>260.02</v>
      </c>
      <c r="I49" s="325">
        <v>5.55</v>
      </c>
      <c r="J49" s="325">
        <v>5.2176319977855989</v>
      </c>
      <c r="K49" s="325">
        <v>304.23</v>
      </c>
      <c r="L49" s="325">
        <v>229.44</v>
      </c>
      <c r="M49" s="325">
        <v>305</v>
      </c>
      <c r="N49" s="325">
        <v>251.5</v>
      </c>
      <c r="O49" s="325">
        <v>276.02</v>
      </c>
      <c r="P49" s="325">
        <v>195.95</v>
      </c>
      <c r="Q49" s="325">
        <v>299.67</v>
      </c>
    </row>
    <row r="50" spans="1:17" s="213" customFormat="1" ht="11.45" customHeight="1">
      <c r="A50" s="384" t="s">
        <v>749</v>
      </c>
      <c r="B50" s="367">
        <v>287.92</v>
      </c>
      <c r="C50" s="367">
        <v>5.26</v>
      </c>
      <c r="D50" s="367">
        <v>5.5874241588527385</v>
      </c>
      <c r="E50" s="367">
        <v>308.41000000000003</v>
      </c>
      <c r="F50" s="367">
        <v>4.87</v>
      </c>
      <c r="G50" s="367">
        <v>5.816325666833122</v>
      </c>
      <c r="H50" s="367">
        <v>261.64999999999998</v>
      </c>
      <c r="I50" s="367">
        <v>5.86</v>
      </c>
      <c r="J50" s="367">
        <v>5.228935994351902</v>
      </c>
      <c r="K50" s="367">
        <v>305.17</v>
      </c>
      <c r="L50" s="367">
        <v>225.9</v>
      </c>
      <c r="M50" s="367">
        <v>306.45999999999998</v>
      </c>
      <c r="N50" s="367">
        <v>251.53</v>
      </c>
      <c r="O50" s="367">
        <v>294.86</v>
      </c>
      <c r="P50" s="367">
        <v>195.99</v>
      </c>
      <c r="Q50" s="367">
        <v>299.99</v>
      </c>
    </row>
    <row r="51" spans="1:17" s="213" customFormat="1" ht="11.45" customHeight="1" thickBot="1">
      <c r="A51" s="1601" t="s">
        <v>740</v>
      </c>
      <c r="B51" s="955">
        <v>291.7</v>
      </c>
      <c r="C51" s="955">
        <v>5.64</v>
      </c>
      <c r="D51" s="955">
        <v>5.5576564158239528</v>
      </c>
      <c r="E51" s="955">
        <v>314.19</v>
      </c>
      <c r="F51" s="955">
        <v>5.45</v>
      </c>
      <c r="G51" s="955">
        <v>5.7286183887331088</v>
      </c>
      <c r="H51" s="955">
        <v>262.87</v>
      </c>
      <c r="I51" s="955">
        <v>5.94</v>
      </c>
      <c r="J51" s="955">
        <v>5.2901960246368063</v>
      </c>
      <c r="K51" s="955">
        <v>306</v>
      </c>
      <c r="L51" s="955">
        <v>226.63</v>
      </c>
      <c r="M51" s="955">
        <v>308.95</v>
      </c>
      <c r="N51" s="955">
        <v>251.9</v>
      </c>
      <c r="O51" s="955">
        <v>297.31</v>
      </c>
      <c r="P51" s="955">
        <v>196.54</v>
      </c>
      <c r="Q51" s="955">
        <v>301.82</v>
      </c>
    </row>
    <row r="52" spans="1:17" s="213" customFormat="1" ht="11.25" customHeight="1">
      <c r="A52" s="322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</row>
    <row r="53" spans="1:17">
      <c r="A53" s="224" t="s">
        <v>1884</v>
      </c>
      <c r="B53" s="127"/>
      <c r="C53" s="127"/>
      <c r="D53" s="127"/>
      <c r="E53" s="127"/>
      <c r="F53" s="127"/>
      <c r="G53" s="36"/>
      <c r="H53" s="41" t="s">
        <v>542</v>
      </c>
      <c r="I53" s="41"/>
      <c r="J53" s="41"/>
      <c r="K53" s="36"/>
      <c r="L53" s="36"/>
      <c r="M53" s="36"/>
      <c r="N53" s="36"/>
      <c r="O53" s="36"/>
      <c r="P53" s="36"/>
      <c r="Q53" s="36"/>
    </row>
    <row r="54" spans="1:17">
      <c r="A54" s="2067" t="s">
        <v>393</v>
      </c>
      <c r="B54" s="2067"/>
      <c r="C54" s="2067"/>
      <c r="D54" s="2067"/>
      <c r="E54" s="41"/>
      <c r="F54" s="41"/>
      <c r="G54" s="41"/>
      <c r="H54" s="41"/>
      <c r="I54" s="41"/>
    </row>
    <row r="55" spans="1:17">
      <c r="A55" s="41"/>
      <c r="B55" s="41"/>
      <c r="C55" s="41"/>
      <c r="D55" s="41"/>
      <c r="E55" s="872"/>
      <c r="F55" s="872"/>
      <c r="G55" s="799"/>
      <c r="H55" s="872"/>
      <c r="I55" s="188"/>
      <c r="J55" s="799"/>
      <c r="K55" s="85"/>
      <c r="L55" s="85"/>
      <c r="M55" s="85"/>
      <c r="N55" s="85"/>
    </row>
    <row r="56" spans="1:17">
      <c r="B56" s="105"/>
      <c r="C56" s="105"/>
      <c r="D56" s="105"/>
      <c r="E56" s="105"/>
      <c r="F56" s="105"/>
      <c r="H56" s="105"/>
      <c r="I56" s="325"/>
    </row>
    <row r="57" spans="1:17">
      <c r="B57" s="105"/>
      <c r="C57" s="325"/>
      <c r="D57" s="105"/>
      <c r="E57" s="105"/>
      <c r="F57" s="325"/>
      <c r="G57" s="105"/>
      <c r="H57" s="105"/>
      <c r="I57" s="325"/>
      <c r="J57" s="105"/>
    </row>
    <row r="58" spans="1:17">
      <c r="A58" s="322"/>
      <c r="B58" s="325"/>
      <c r="C58" s="325"/>
      <c r="D58" s="325"/>
      <c r="F58" s="325"/>
      <c r="H58" s="105"/>
      <c r="I58" s="325"/>
      <c r="L58" s="325"/>
      <c r="M58" s="325"/>
      <c r="N58" s="325"/>
      <c r="O58" s="325"/>
      <c r="P58" s="325"/>
      <c r="Q58" s="325"/>
    </row>
    <row r="59" spans="1:17">
      <c r="B59" s="105"/>
      <c r="C59" s="105"/>
      <c r="D59" s="105"/>
      <c r="E59" s="105"/>
      <c r="F59" s="105"/>
      <c r="G59" s="799"/>
      <c r="H59" s="105"/>
      <c r="I59" s="105"/>
      <c r="J59" s="799"/>
    </row>
    <row r="60" spans="1:17">
      <c r="H60" s="105"/>
    </row>
    <row r="61" spans="1:17">
      <c r="H61" s="105"/>
    </row>
    <row r="62" spans="1:17">
      <c r="C62" s="799"/>
      <c r="F62" s="105"/>
      <c r="I62" s="105"/>
    </row>
  </sheetData>
  <mergeCells count="29">
    <mergeCell ref="A54:D54"/>
    <mergeCell ref="D4:D5"/>
    <mergeCell ref="I4:I5"/>
    <mergeCell ref="F6:G6"/>
    <mergeCell ref="F4:F5"/>
    <mergeCell ref="A3:A5"/>
    <mergeCell ref="I6:J6"/>
    <mergeCell ref="C6:D6"/>
    <mergeCell ref="B4:B5"/>
    <mergeCell ref="P1:Q1"/>
    <mergeCell ref="K3:Q3"/>
    <mergeCell ref="O4:O5"/>
    <mergeCell ref="P4:P5"/>
    <mergeCell ref="K1:O1"/>
    <mergeCell ref="Q4:Q5"/>
    <mergeCell ref="L4:L5"/>
    <mergeCell ref="M4:M5"/>
    <mergeCell ref="N4:N5"/>
    <mergeCell ref="D1:J1"/>
    <mergeCell ref="H4:H5"/>
    <mergeCell ref="F3:G3"/>
    <mergeCell ref="K4:K5"/>
    <mergeCell ref="I3:J3"/>
    <mergeCell ref="C3:D3"/>
    <mergeCell ref="G4:G5"/>
    <mergeCell ref="C4:C5"/>
    <mergeCell ref="G2:J2"/>
    <mergeCell ref="E4:E5"/>
    <mergeCell ref="J4:J5"/>
  </mergeCells>
  <phoneticPr fontId="0" type="noConversion"/>
  <pageMargins left="0.62992125984252001" right="0.39370078740157499" top="0.511811023622047" bottom="0.511811023622047" header="0" footer="0.511811023622047"/>
  <pageSetup paperSize="448" firstPageNumber="42" orientation="portrait" useFirstPageNumber="1" r:id="rId1"/>
  <headerFooter alignWithMargins="0">
    <oddFooter>&amp;C&amp;"Times New Roman,Regular"&amp;8&amp;P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9"/>
  <dimension ref="A1:I68"/>
  <sheetViews>
    <sheetView zoomScale="170" zoomScaleNormal="170" workbookViewId="0">
      <pane xSplit="1" ySplit="5" topLeftCell="B51" activePane="bottomRight" state="frozen"/>
      <selection activeCell="F85" sqref="F85"/>
      <selection pane="topRight" activeCell="F85" sqref="F85"/>
      <selection pane="bottomLeft" activeCell="F85" sqref="F85"/>
      <selection pane="bottomRight" activeCell="C61" sqref="C61:D61"/>
    </sheetView>
  </sheetViews>
  <sheetFormatPr defaultColWidth="9.140625" defaultRowHeight="12.75"/>
  <cols>
    <col min="1" max="1" width="12.140625" style="2" customWidth="1"/>
    <col min="2" max="2" width="17" style="2" customWidth="1"/>
    <col min="3" max="4" width="16.7109375" style="2" customWidth="1"/>
    <col min="5" max="5" width="15" style="2" customWidth="1"/>
    <col min="6" max="6" width="20.85546875" style="2" customWidth="1"/>
    <col min="7" max="7" width="22.140625" style="2" customWidth="1"/>
    <col min="8" max="8" width="20" style="2" customWidth="1"/>
    <col min="9" max="9" width="17.7109375" style="2" customWidth="1"/>
    <col min="10" max="10" width="11.5703125" style="2" customWidth="1"/>
    <col min="11" max="11" width="11.42578125" style="2" customWidth="1"/>
    <col min="12" max="16384" width="9.140625" style="2"/>
  </cols>
  <sheetData>
    <row r="1" spans="1:9" s="42" customFormat="1" ht="19.899999999999999" customHeight="1">
      <c r="A1" s="1764" t="s">
        <v>467</v>
      </c>
      <c r="B1" s="1764"/>
      <c r="C1" s="1764"/>
      <c r="D1" s="1764"/>
      <c r="E1" s="1764"/>
      <c r="F1" s="2073" t="s">
        <v>468</v>
      </c>
      <c r="G1" s="2073"/>
      <c r="H1" s="1473"/>
      <c r="I1" s="1451" t="s">
        <v>1446</v>
      </c>
    </row>
    <row r="2" spans="1:9" s="1474" customFormat="1" ht="24" customHeight="1">
      <c r="A2" s="1978" t="s">
        <v>663</v>
      </c>
      <c r="B2" s="2074" t="s">
        <v>1717</v>
      </c>
      <c r="C2" s="2074"/>
      <c r="D2" s="2074" t="s">
        <v>93</v>
      </c>
      <c r="E2" s="2074"/>
      <c r="F2" s="1715" t="s">
        <v>1846</v>
      </c>
      <c r="G2" s="1748" t="s">
        <v>1682</v>
      </c>
      <c r="H2" s="1748"/>
      <c r="I2" s="1774" t="s">
        <v>663</v>
      </c>
    </row>
    <row r="3" spans="1:9" s="1474" customFormat="1" ht="12.75" customHeight="1">
      <c r="A3" s="1979"/>
      <c r="B3" s="1715" t="s">
        <v>1842</v>
      </c>
      <c r="C3" s="1715" t="s">
        <v>1843</v>
      </c>
      <c r="D3" s="1715" t="s">
        <v>1844</v>
      </c>
      <c r="E3" s="1715" t="s">
        <v>1845</v>
      </c>
      <c r="F3" s="1715"/>
      <c r="G3" s="1715" t="s">
        <v>1847</v>
      </c>
      <c r="H3" s="1715" t="s">
        <v>1848</v>
      </c>
      <c r="I3" s="1774"/>
    </row>
    <row r="4" spans="1:9" s="1474" customFormat="1">
      <c r="A4" s="1979"/>
      <c r="B4" s="1715"/>
      <c r="C4" s="1715"/>
      <c r="D4" s="1715"/>
      <c r="E4" s="1715"/>
      <c r="F4" s="1715"/>
      <c r="G4" s="1715"/>
      <c r="H4" s="1715"/>
      <c r="I4" s="1774"/>
    </row>
    <row r="5" spans="1:9" s="1474" customFormat="1" ht="12.75" customHeight="1">
      <c r="A5" s="1980"/>
      <c r="B5" s="1715"/>
      <c r="C5" s="1715"/>
      <c r="D5" s="1715"/>
      <c r="E5" s="1715"/>
      <c r="F5" s="1715"/>
      <c r="G5" s="1715"/>
      <c r="H5" s="1715"/>
      <c r="I5" s="1774"/>
    </row>
    <row r="6" spans="1:9" s="8" customFormat="1" ht="9.6" customHeight="1">
      <c r="A6" s="1466">
        <v>2009</v>
      </c>
      <c r="B6" s="1293">
        <v>3756.3333333333335</v>
      </c>
      <c r="C6" s="1293">
        <v>7758.333333333333</v>
      </c>
      <c r="D6" s="1000">
        <v>35.204166666666673</v>
      </c>
      <c r="E6" s="1293">
        <v>23980.833333333332</v>
      </c>
      <c r="F6" s="1000">
        <v>128.69797063195713</v>
      </c>
      <c r="G6" s="1293">
        <v>586.66666666666663</v>
      </c>
      <c r="H6" s="1293">
        <v>90.25</v>
      </c>
      <c r="I6" s="1302">
        <v>2009</v>
      </c>
    </row>
    <row r="7" spans="1:9" s="8" customFormat="1" ht="9.6" customHeight="1">
      <c r="A7" s="1287">
        <v>2010</v>
      </c>
      <c r="B7" s="1294">
        <v>6190.916666666667</v>
      </c>
      <c r="C7" s="1294">
        <v>13941.416666666666</v>
      </c>
      <c r="D7" s="947">
        <v>35.166666666666664</v>
      </c>
      <c r="E7" s="1294">
        <v>31114.166666666668</v>
      </c>
      <c r="F7" s="947">
        <v>142.05333333333334</v>
      </c>
      <c r="G7" s="1294">
        <v>912.5</v>
      </c>
      <c r="H7" s="1294">
        <v>101.58333333333333</v>
      </c>
      <c r="I7" s="1303">
        <v>2010</v>
      </c>
    </row>
    <row r="8" spans="1:9" s="213" customFormat="1" ht="9.6" customHeight="1">
      <c r="A8" s="1288">
        <v>2011</v>
      </c>
      <c r="B8" s="1295">
        <v>5937.5</v>
      </c>
      <c r="C8" s="1295">
        <v>13850</v>
      </c>
      <c r="D8" s="1020">
        <v>37.541666666666664</v>
      </c>
      <c r="E8" s="1295">
        <v>26950</v>
      </c>
      <c r="F8" s="1020">
        <v>166.13499999999999</v>
      </c>
      <c r="G8" s="1295">
        <v>1087.9166666666667</v>
      </c>
      <c r="H8" s="1295">
        <v>156.33333333333334</v>
      </c>
      <c r="I8" s="1304">
        <v>2011</v>
      </c>
    </row>
    <row r="9" spans="1:9" s="213" customFormat="1" ht="9.6" customHeight="1">
      <c r="A9" s="1287">
        <v>2012</v>
      </c>
      <c r="B9" s="1294">
        <v>5833.333333333333</v>
      </c>
      <c r="C9" s="1294">
        <v>13600</v>
      </c>
      <c r="D9" s="947">
        <v>32.875</v>
      </c>
      <c r="E9" s="1294">
        <v>54033.333333333336</v>
      </c>
      <c r="F9" s="947">
        <v>172.94416666666669</v>
      </c>
      <c r="G9" s="1294">
        <v>1053.125</v>
      </c>
      <c r="H9" s="1294">
        <v>112.77777777777777</v>
      </c>
      <c r="I9" s="1303">
        <v>2012</v>
      </c>
    </row>
    <row r="10" spans="1:9" s="280" customFormat="1" ht="9.6" customHeight="1">
      <c r="A10" s="1466">
        <v>2013</v>
      </c>
      <c r="B10" s="1295">
        <v>5375</v>
      </c>
      <c r="C10" s="1295">
        <v>12500</v>
      </c>
      <c r="D10" s="1020">
        <v>37.041666666666664</v>
      </c>
      <c r="E10" s="1295">
        <v>51868.181818181816</v>
      </c>
      <c r="F10" s="1020">
        <v>199.83166666666662</v>
      </c>
      <c r="G10" s="1295">
        <v>680</v>
      </c>
      <c r="H10" s="1295">
        <v>79.833333333333329</v>
      </c>
      <c r="I10" s="1305">
        <v>2013</v>
      </c>
    </row>
    <row r="11" spans="1:9" s="280" customFormat="1" ht="9.6" customHeight="1">
      <c r="A11" s="1287">
        <v>2014</v>
      </c>
      <c r="B11" s="1294">
        <v>5375</v>
      </c>
      <c r="C11" s="1294">
        <v>12500</v>
      </c>
      <c r="D11" s="947">
        <v>40</v>
      </c>
      <c r="E11" s="1294">
        <v>48600</v>
      </c>
      <c r="F11" s="947">
        <v>185.97166666666666</v>
      </c>
      <c r="G11" s="1294">
        <v>1078.75</v>
      </c>
      <c r="H11" s="1294">
        <v>109.33333333333333</v>
      </c>
      <c r="I11" s="1306">
        <v>2014</v>
      </c>
    </row>
    <row r="12" spans="1:9" s="280" customFormat="1" ht="9.6" customHeight="1">
      <c r="A12" s="1289">
        <v>2015</v>
      </c>
      <c r="B12" s="1295">
        <v>5770.833333333333</v>
      </c>
      <c r="C12" s="1295">
        <v>13650</v>
      </c>
      <c r="D12" s="1020">
        <v>37.666666666666664</v>
      </c>
      <c r="E12" s="1295">
        <v>44166.666666666664</v>
      </c>
      <c r="F12" s="1020">
        <v>166.07666666666668</v>
      </c>
      <c r="G12" s="1295">
        <v>1287.5</v>
      </c>
      <c r="H12" s="1295">
        <v>96.416666666666671</v>
      </c>
      <c r="I12" s="1307">
        <v>2015</v>
      </c>
    </row>
    <row r="13" spans="1:9" s="1324" customFormat="1" ht="9.6" customHeight="1">
      <c r="A13" s="1287">
        <v>2016</v>
      </c>
      <c r="B13" s="1176">
        <v>6375</v>
      </c>
      <c r="C13" s="1176">
        <v>15100</v>
      </c>
      <c r="D13" s="947">
        <v>38.416666666666664</v>
      </c>
      <c r="E13" s="1294">
        <v>44000</v>
      </c>
      <c r="F13" s="947">
        <v>161.27999999999997</v>
      </c>
      <c r="G13" s="1294">
        <v>1009.1666666666666</v>
      </c>
      <c r="H13" s="1294">
        <v>87</v>
      </c>
      <c r="I13" s="1306">
        <v>2016</v>
      </c>
    </row>
    <row r="14" spans="1:9" s="1324" customFormat="1" ht="9.6" customHeight="1">
      <c r="A14" s="1291">
        <v>2017</v>
      </c>
      <c r="B14" s="1299">
        <v>6375</v>
      </c>
      <c r="C14" s="1299">
        <v>15100</v>
      </c>
      <c r="D14" s="1300">
        <v>45.166666666666664</v>
      </c>
      <c r="E14" s="1301">
        <v>43173.333333333336</v>
      </c>
      <c r="F14" s="1300">
        <v>164.67</v>
      </c>
      <c r="G14" s="1301">
        <v>778.75</v>
      </c>
      <c r="H14" s="1301">
        <v>67.666666666666671</v>
      </c>
      <c r="I14" s="1309">
        <v>2017</v>
      </c>
    </row>
    <row r="15" spans="1:9" s="1324" customFormat="1" ht="9.6" customHeight="1">
      <c r="A15" s="1290">
        <v>2018</v>
      </c>
      <c r="B15" s="1296">
        <f>AVERAGE(B16:B27)</f>
        <v>6375</v>
      </c>
      <c r="C15" s="1296">
        <f t="shared" ref="C15:D15" si="0">AVERAGE(C16:C27)</f>
        <v>15100</v>
      </c>
      <c r="D15" s="1297">
        <f t="shared" si="0"/>
        <v>44.666666666666664</v>
      </c>
      <c r="E15" s="1298">
        <f>AVERAGE(E16:E27)</f>
        <v>41401.666666666664</v>
      </c>
      <c r="F15" s="1297">
        <f>AVERAGE(F16:F27)</f>
        <v>171.87749999999997</v>
      </c>
      <c r="G15" s="1298">
        <f t="shared" ref="G15:H15" si="1">AVERAGE(G16:G27)</f>
        <v>690.83333333333337</v>
      </c>
      <c r="H15" s="1298">
        <f t="shared" si="1"/>
        <v>59.166666666666664</v>
      </c>
      <c r="I15" s="1308">
        <v>2018</v>
      </c>
    </row>
    <row r="16" spans="1:9" s="1324" customFormat="1" ht="9.6" customHeight="1">
      <c r="A16" s="1288" t="s">
        <v>746</v>
      </c>
      <c r="B16" s="1156">
        <v>6375</v>
      </c>
      <c r="C16" s="1156">
        <v>15100</v>
      </c>
      <c r="D16" s="1020">
        <v>46</v>
      </c>
      <c r="E16" s="1295">
        <v>41000</v>
      </c>
      <c r="F16" s="1311">
        <v>186.97</v>
      </c>
      <c r="G16" s="1156">
        <v>619</v>
      </c>
      <c r="H16" s="1156">
        <v>62</v>
      </c>
      <c r="I16" s="1307" t="s">
        <v>746</v>
      </c>
    </row>
    <row r="17" spans="1:9" s="1324" customFormat="1" ht="9.6" customHeight="1">
      <c r="A17" s="1287" t="s">
        <v>747</v>
      </c>
      <c r="B17" s="1176">
        <v>6375</v>
      </c>
      <c r="C17" s="1176">
        <v>15100</v>
      </c>
      <c r="D17" s="947">
        <v>46</v>
      </c>
      <c r="E17" s="1294">
        <v>41000</v>
      </c>
      <c r="F17" s="1310">
        <v>159.93</v>
      </c>
      <c r="G17" s="1176">
        <v>638</v>
      </c>
      <c r="H17" s="1176">
        <v>61</v>
      </c>
      <c r="I17" s="1306" t="s">
        <v>747</v>
      </c>
    </row>
    <row r="18" spans="1:9" s="35" customFormat="1" ht="9.6" customHeight="1">
      <c r="A18" s="1288" t="s">
        <v>739</v>
      </c>
      <c r="B18" s="1156">
        <v>6375</v>
      </c>
      <c r="C18" s="1156">
        <v>15100</v>
      </c>
      <c r="D18" s="1020">
        <v>46</v>
      </c>
      <c r="E18" s="1295">
        <v>40950</v>
      </c>
      <c r="F18" s="1311">
        <v>159.56</v>
      </c>
      <c r="G18" s="1156">
        <v>652</v>
      </c>
      <c r="H18" s="1156">
        <v>58</v>
      </c>
      <c r="I18" s="1307" t="s">
        <v>739</v>
      </c>
    </row>
    <row r="19" spans="1:9" s="35" customFormat="1" ht="9.6" customHeight="1">
      <c r="A19" s="1287" t="s">
        <v>748</v>
      </c>
      <c r="B19" s="1176">
        <v>6375</v>
      </c>
      <c r="C19" s="1176">
        <v>15100</v>
      </c>
      <c r="D19" s="947">
        <v>44</v>
      </c>
      <c r="E19" s="1294">
        <v>41000</v>
      </c>
      <c r="F19" s="1310">
        <v>168.75</v>
      </c>
      <c r="G19" s="1176">
        <v>804</v>
      </c>
      <c r="H19" s="1176">
        <v>59</v>
      </c>
      <c r="I19" s="1306" t="s">
        <v>748</v>
      </c>
    </row>
    <row r="20" spans="1:9" s="35" customFormat="1" ht="9.6" customHeight="1">
      <c r="A20" s="1288" t="s">
        <v>749</v>
      </c>
      <c r="B20" s="1156">
        <v>6375</v>
      </c>
      <c r="C20" s="1156">
        <v>15100</v>
      </c>
      <c r="D20" s="1020">
        <v>43</v>
      </c>
      <c r="E20" s="1295">
        <v>41000</v>
      </c>
      <c r="F20" s="1311">
        <v>165.41</v>
      </c>
      <c r="G20" s="1156">
        <v>836</v>
      </c>
      <c r="H20" s="1156">
        <v>62</v>
      </c>
      <c r="I20" s="1307" t="s">
        <v>749</v>
      </c>
    </row>
    <row r="21" spans="1:9" s="35" customFormat="1" ht="9.6" customHeight="1">
      <c r="A21" s="1287" t="s">
        <v>740</v>
      </c>
      <c r="B21" s="1176">
        <v>6375</v>
      </c>
      <c r="C21" s="1176">
        <v>15100</v>
      </c>
      <c r="D21" s="947">
        <v>42</v>
      </c>
      <c r="E21" s="1294">
        <v>41000</v>
      </c>
      <c r="F21" s="1310">
        <v>140.85</v>
      </c>
      <c r="G21" s="1176">
        <v>847</v>
      </c>
      <c r="H21" s="1176">
        <v>61</v>
      </c>
      <c r="I21" s="1306" t="s">
        <v>740</v>
      </c>
    </row>
    <row r="22" spans="1:9" s="35" customFormat="1" ht="9.6" customHeight="1">
      <c r="A22" s="1288" t="s">
        <v>742</v>
      </c>
      <c r="B22" s="1156">
        <v>6375</v>
      </c>
      <c r="C22" s="1156">
        <v>15100</v>
      </c>
      <c r="D22" s="1020">
        <v>43</v>
      </c>
      <c r="E22" s="1295">
        <v>41800</v>
      </c>
      <c r="F22" s="1311">
        <v>179.7</v>
      </c>
      <c r="G22" s="1156">
        <v>878</v>
      </c>
      <c r="H22" s="1156">
        <v>63</v>
      </c>
      <c r="I22" s="1307" t="s">
        <v>742</v>
      </c>
    </row>
    <row r="23" spans="1:9" s="47" customFormat="1" ht="9.6" customHeight="1">
      <c r="A23" s="1287" t="s">
        <v>743</v>
      </c>
      <c r="B23" s="1176">
        <v>6375</v>
      </c>
      <c r="C23" s="1176">
        <v>15100</v>
      </c>
      <c r="D23" s="947">
        <v>42</v>
      </c>
      <c r="E23" s="1294">
        <v>41800</v>
      </c>
      <c r="F23" s="1310">
        <v>180.4</v>
      </c>
      <c r="G23" s="1176">
        <v>715</v>
      </c>
      <c r="H23" s="1176">
        <v>62</v>
      </c>
      <c r="I23" s="1306" t="s">
        <v>743</v>
      </c>
    </row>
    <row r="24" spans="1:9" s="47" customFormat="1" ht="9.6" customHeight="1">
      <c r="A24" s="1288" t="s">
        <v>737</v>
      </c>
      <c r="B24" s="1156">
        <v>6375</v>
      </c>
      <c r="C24" s="1156">
        <v>15100</v>
      </c>
      <c r="D24" s="1020">
        <v>42</v>
      </c>
      <c r="E24" s="1295">
        <v>41820</v>
      </c>
      <c r="F24" s="1311">
        <v>184.89</v>
      </c>
      <c r="G24" s="1156">
        <v>549</v>
      </c>
      <c r="H24" s="1156">
        <v>48</v>
      </c>
      <c r="I24" s="1307" t="s">
        <v>737</v>
      </c>
    </row>
    <row r="25" spans="1:9" s="47" customFormat="1" ht="9.6" customHeight="1">
      <c r="A25" s="1287" t="s">
        <v>744</v>
      </c>
      <c r="B25" s="1176">
        <v>6375</v>
      </c>
      <c r="C25" s="1176">
        <v>15100</v>
      </c>
      <c r="D25" s="947">
        <v>41</v>
      </c>
      <c r="E25" s="1294">
        <v>41800</v>
      </c>
      <c r="F25" s="1310">
        <v>182.89</v>
      </c>
      <c r="G25" s="1176">
        <v>548</v>
      </c>
      <c r="H25" s="1176">
        <v>51</v>
      </c>
      <c r="I25" s="1306" t="s">
        <v>744</v>
      </c>
    </row>
    <row r="26" spans="1:9" s="47" customFormat="1" ht="9.6" customHeight="1">
      <c r="A26" s="1288" t="s">
        <v>745</v>
      </c>
      <c r="B26" s="1156">
        <v>6375</v>
      </c>
      <c r="C26" s="1156">
        <v>15100</v>
      </c>
      <c r="D26" s="1020">
        <v>39</v>
      </c>
      <c r="E26" s="1156">
        <v>41820</v>
      </c>
      <c r="F26" s="1311">
        <v>203.57</v>
      </c>
      <c r="G26" s="1334">
        <v>603</v>
      </c>
      <c r="H26" s="1334">
        <v>61</v>
      </c>
      <c r="I26" s="1307" t="s">
        <v>745</v>
      </c>
    </row>
    <row r="27" spans="1:9" s="47" customFormat="1" ht="9.6" customHeight="1">
      <c r="A27" s="1287" t="s">
        <v>738</v>
      </c>
      <c r="B27" s="1176">
        <v>6375</v>
      </c>
      <c r="C27" s="1176">
        <v>15100</v>
      </c>
      <c r="D27" s="947">
        <v>62</v>
      </c>
      <c r="E27" s="1176">
        <v>41830</v>
      </c>
      <c r="F27" s="1310">
        <v>149.61000000000001</v>
      </c>
      <c r="G27" s="1335">
        <v>601</v>
      </c>
      <c r="H27" s="1335">
        <v>62</v>
      </c>
      <c r="I27" s="1306" t="s">
        <v>738</v>
      </c>
    </row>
    <row r="28" spans="1:9" s="333" customFormat="1" ht="9.6" customHeight="1">
      <c r="A28" s="1292">
        <v>2019</v>
      </c>
      <c r="B28" s="1301">
        <f>AVERAGE(B29:B40)</f>
        <v>6385.416666666667</v>
      </c>
      <c r="C28" s="1301">
        <f t="shared" ref="C28:D28" si="2">AVERAGE(C29:C40)</f>
        <v>15125</v>
      </c>
      <c r="D28" s="1300">
        <f t="shared" si="2"/>
        <v>35.583333333333336</v>
      </c>
      <c r="E28" s="1301">
        <f>AVERAGE(E29:E40)</f>
        <v>41673.333333333336</v>
      </c>
      <c r="F28" s="1300">
        <f>AVERAGE(F29:F40)</f>
        <v>172.48000000000002</v>
      </c>
      <c r="G28" s="1301">
        <f t="shared" ref="G28:H28" si="3">AVERAGE(G29:G40)</f>
        <v>500.33333333333331</v>
      </c>
      <c r="H28" s="1301">
        <f t="shared" si="3"/>
        <v>45.75</v>
      </c>
      <c r="I28" s="1312">
        <v>2019</v>
      </c>
    </row>
    <row r="29" spans="1:9" s="333" customFormat="1" ht="9.6" customHeight="1">
      <c r="A29" s="1287" t="s">
        <v>746</v>
      </c>
      <c r="B29" s="1176">
        <v>6375</v>
      </c>
      <c r="C29" s="1176">
        <v>15100</v>
      </c>
      <c r="D29" s="947">
        <v>38</v>
      </c>
      <c r="E29" s="1176">
        <v>41800</v>
      </c>
      <c r="F29" s="1310">
        <v>213.4</v>
      </c>
      <c r="G29" s="1335">
        <v>632</v>
      </c>
      <c r="H29" s="1335">
        <v>62</v>
      </c>
      <c r="I29" s="1306" t="s">
        <v>746</v>
      </c>
    </row>
    <row r="30" spans="1:9" s="333" customFormat="1" ht="9.6" customHeight="1">
      <c r="A30" s="1288" t="s">
        <v>747</v>
      </c>
      <c r="B30" s="1156">
        <v>6375</v>
      </c>
      <c r="C30" s="1156">
        <v>15100</v>
      </c>
      <c r="D30" s="1020">
        <v>38</v>
      </c>
      <c r="E30" s="1156">
        <v>41800</v>
      </c>
      <c r="F30" s="1311">
        <v>137.62</v>
      </c>
      <c r="G30" s="1334">
        <v>639</v>
      </c>
      <c r="H30" s="1334">
        <v>65</v>
      </c>
      <c r="I30" s="1307" t="s">
        <v>747</v>
      </c>
    </row>
    <row r="31" spans="1:9" s="333" customFormat="1" ht="9.6" customHeight="1">
      <c r="A31" s="1287" t="s">
        <v>739</v>
      </c>
      <c r="B31" s="1176">
        <v>6375</v>
      </c>
      <c r="C31" s="1176">
        <v>15100</v>
      </c>
      <c r="D31" s="947">
        <v>37</v>
      </c>
      <c r="E31" s="1176">
        <v>41820</v>
      </c>
      <c r="F31" s="1310">
        <v>168.7</v>
      </c>
      <c r="G31" s="1335">
        <v>627</v>
      </c>
      <c r="H31" s="1335">
        <v>64</v>
      </c>
      <c r="I31" s="1306" t="s">
        <v>739</v>
      </c>
    </row>
    <row r="32" spans="1:9" s="333" customFormat="1" ht="9.6" customHeight="1">
      <c r="A32" s="1288" t="s">
        <v>748</v>
      </c>
      <c r="B32" s="1156">
        <v>6375</v>
      </c>
      <c r="C32" s="1156">
        <v>15100</v>
      </c>
      <c r="D32" s="1020">
        <v>36</v>
      </c>
      <c r="E32" s="1156">
        <v>41830</v>
      </c>
      <c r="F32" s="1311">
        <v>167</v>
      </c>
      <c r="G32" s="1334">
        <v>635</v>
      </c>
      <c r="H32" s="1334">
        <v>67</v>
      </c>
      <c r="I32" s="1307" t="s">
        <v>748</v>
      </c>
    </row>
    <row r="33" spans="1:9" s="333" customFormat="1" ht="9.6" customHeight="1">
      <c r="A33" s="1287" t="s">
        <v>749</v>
      </c>
      <c r="B33" s="1176">
        <v>6375</v>
      </c>
      <c r="C33" s="1176">
        <v>15100</v>
      </c>
      <c r="D33" s="947">
        <v>36</v>
      </c>
      <c r="E33" s="1176">
        <v>41800</v>
      </c>
      <c r="F33" s="1310">
        <v>163.56</v>
      </c>
      <c r="G33" s="1335">
        <v>577</v>
      </c>
      <c r="H33" s="1335">
        <v>58</v>
      </c>
      <c r="I33" s="1306" t="s">
        <v>749</v>
      </c>
    </row>
    <row r="34" spans="1:9" s="333" customFormat="1" ht="9.6" customHeight="1">
      <c r="A34" s="1288" t="s">
        <v>740</v>
      </c>
      <c r="B34" s="1156">
        <v>6375</v>
      </c>
      <c r="C34" s="1156">
        <v>15100</v>
      </c>
      <c r="D34" s="1020">
        <v>35</v>
      </c>
      <c r="E34" s="1156">
        <v>41800</v>
      </c>
      <c r="F34" s="1311">
        <v>155.88</v>
      </c>
      <c r="G34" s="1334">
        <v>558</v>
      </c>
      <c r="H34" s="1334">
        <v>57</v>
      </c>
      <c r="I34" s="1307" t="s">
        <v>740</v>
      </c>
    </row>
    <row r="35" spans="1:9" s="333" customFormat="1" ht="9.6" customHeight="1">
      <c r="A35" s="1287" t="s">
        <v>742</v>
      </c>
      <c r="B35" s="1176">
        <v>6375</v>
      </c>
      <c r="C35" s="1176">
        <v>15100</v>
      </c>
      <c r="D35" s="947">
        <v>35</v>
      </c>
      <c r="E35" s="1176">
        <v>40980</v>
      </c>
      <c r="F35" s="1310">
        <v>144.6</v>
      </c>
      <c r="G35" s="1335">
        <v>515</v>
      </c>
      <c r="H35" s="1335">
        <v>47</v>
      </c>
      <c r="I35" s="1306" t="s">
        <v>742</v>
      </c>
    </row>
    <row r="36" spans="1:9" s="333" customFormat="1" ht="9.6" customHeight="1">
      <c r="A36" s="1288" t="s">
        <v>743</v>
      </c>
      <c r="B36" s="1156">
        <v>6375</v>
      </c>
      <c r="C36" s="1156">
        <v>15100</v>
      </c>
      <c r="D36" s="1020">
        <v>35</v>
      </c>
      <c r="E36" s="1156">
        <v>41000</v>
      </c>
      <c r="F36" s="1311">
        <v>195</v>
      </c>
      <c r="G36" s="1334">
        <v>406</v>
      </c>
      <c r="H36" s="1334">
        <v>31</v>
      </c>
      <c r="I36" s="1307" t="s">
        <v>743</v>
      </c>
    </row>
    <row r="37" spans="1:9" s="333" customFormat="1" ht="9.6" customHeight="1">
      <c r="A37" s="1287" t="s">
        <v>737</v>
      </c>
      <c r="B37" s="1176">
        <v>6375</v>
      </c>
      <c r="C37" s="1176">
        <v>15100</v>
      </c>
      <c r="D37" s="947">
        <v>35</v>
      </c>
      <c r="E37" s="1176">
        <v>41500</v>
      </c>
      <c r="F37" s="1310">
        <v>190</v>
      </c>
      <c r="G37" s="1335">
        <v>358</v>
      </c>
      <c r="H37" s="1335">
        <v>23</v>
      </c>
      <c r="I37" s="1306" t="s">
        <v>737</v>
      </c>
    </row>
    <row r="38" spans="1:9" s="333" customFormat="1" ht="9.6" customHeight="1">
      <c r="A38" s="1288" t="s">
        <v>744</v>
      </c>
      <c r="B38" s="1156">
        <v>6375</v>
      </c>
      <c r="C38" s="1156">
        <v>15100</v>
      </c>
      <c r="D38" s="1020">
        <v>34</v>
      </c>
      <c r="E38" s="1156">
        <v>41550</v>
      </c>
      <c r="F38" s="1311">
        <v>183</v>
      </c>
      <c r="G38" s="1334">
        <v>327</v>
      </c>
      <c r="H38" s="1334">
        <v>24</v>
      </c>
      <c r="I38" s="1307" t="s">
        <v>744</v>
      </c>
    </row>
    <row r="39" spans="1:9" s="333" customFormat="1" ht="9.6" customHeight="1">
      <c r="A39" s="1287" t="s">
        <v>745</v>
      </c>
      <c r="B39" s="1176">
        <v>6375</v>
      </c>
      <c r="C39" s="1176">
        <v>15100</v>
      </c>
      <c r="D39" s="947">
        <v>34</v>
      </c>
      <c r="E39" s="1176">
        <v>42000</v>
      </c>
      <c r="F39" s="1310">
        <v>169</v>
      </c>
      <c r="G39" s="1335">
        <v>354</v>
      </c>
      <c r="H39" s="1335">
        <v>25</v>
      </c>
      <c r="I39" s="1306" t="s">
        <v>745</v>
      </c>
    </row>
    <row r="40" spans="1:9" s="333" customFormat="1" ht="9.6" customHeight="1">
      <c r="A40" s="1288" t="s">
        <v>738</v>
      </c>
      <c r="B40" s="1156">
        <v>6500</v>
      </c>
      <c r="C40" s="1156">
        <v>15400</v>
      </c>
      <c r="D40" s="1020">
        <v>34</v>
      </c>
      <c r="E40" s="1156">
        <v>42200</v>
      </c>
      <c r="F40" s="1311">
        <v>182</v>
      </c>
      <c r="G40" s="1334">
        <v>376</v>
      </c>
      <c r="H40" s="1334">
        <v>26</v>
      </c>
      <c r="I40" s="1307" t="s">
        <v>738</v>
      </c>
    </row>
    <row r="41" spans="1:9" s="333" customFormat="1" ht="9.6" customHeight="1">
      <c r="A41" s="1290">
        <v>2020</v>
      </c>
      <c r="B41" s="1298">
        <f>AVERAGE(B42:B53)</f>
        <v>6677.083333333333</v>
      </c>
      <c r="C41" s="1298">
        <f t="shared" ref="C41:D41" si="4">AVERAGE(C42:C53)</f>
        <v>15812.5</v>
      </c>
      <c r="D41" s="1297">
        <f t="shared" si="4"/>
        <v>43.75</v>
      </c>
      <c r="E41" s="1298">
        <f>AVERAGE(E42:E53)</f>
        <v>66450.400000000009</v>
      </c>
      <c r="F41" s="1297">
        <f>AVERAGE(F42:F53)</f>
        <v>180.03</v>
      </c>
      <c r="G41" s="1298">
        <f t="shared" ref="G41:H41" si="5">AVERAGE(G42:G53)</f>
        <v>299.75</v>
      </c>
      <c r="H41" s="1298">
        <f t="shared" si="5"/>
        <v>22.75</v>
      </c>
      <c r="I41" s="1308">
        <v>2020</v>
      </c>
    </row>
    <row r="42" spans="1:9" s="333" customFormat="1" ht="9.6" customHeight="1">
      <c r="A42" s="1288" t="s">
        <v>746</v>
      </c>
      <c r="B42" s="1156">
        <v>6500</v>
      </c>
      <c r="C42" s="1156">
        <v>15400</v>
      </c>
      <c r="D42" s="1020">
        <v>35</v>
      </c>
      <c r="E42" s="1156">
        <v>41800</v>
      </c>
      <c r="F42" s="1311">
        <v>183.77</v>
      </c>
      <c r="G42" s="1334">
        <v>387</v>
      </c>
      <c r="H42" s="1334">
        <v>26</v>
      </c>
      <c r="I42" s="1307" t="s">
        <v>746</v>
      </c>
    </row>
    <row r="43" spans="1:9" s="333" customFormat="1" ht="9.6" customHeight="1">
      <c r="A43" s="1287" t="s">
        <v>747</v>
      </c>
      <c r="B43" s="1176">
        <v>6500</v>
      </c>
      <c r="C43" s="1176">
        <v>15400</v>
      </c>
      <c r="D43" s="947">
        <v>35</v>
      </c>
      <c r="E43" s="1176">
        <v>41820</v>
      </c>
      <c r="F43" s="1310">
        <v>178.41</v>
      </c>
      <c r="G43" s="1335">
        <v>400</v>
      </c>
      <c r="H43" s="1335">
        <v>27</v>
      </c>
      <c r="I43" s="1306" t="s">
        <v>747</v>
      </c>
    </row>
    <row r="44" spans="1:9" s="333" customFormat="1" ht="9.6" customHeight="1">
      <c r="A44" s="1288" t="s">
        <v>739</v>
      </c>
      <c r="B44" s="1156">
        <v>6500</v>
      </c>
      <c r="C44" s="1156">
        <v>15400</v>
      </c>
      <c r="D44" s="1020">
        <v>38</v>
      </c>
      <c r="E44" s="1156">
        <v>51450</v>
      </c>
      <c r="F44" s="1311">
        <v>184.96</v>
      </c>
      <c r="G44" s="1334">
        <v>383</v>
      </c>
      <c r="H44" s="1334">
        <v>27</v>
      </c>
      <c r="I44" s="1307" t="s">
        <v>739</v>
      </c>
    </row>
    <row r="45" spans="1:9" s="333" customFormat="1" ht="9.6" customHeight="1">
      <c r="A45" s="1287" t="s">
        <v>748</v>
      </c>
      <c r="B45" s="1176">
        <v>6500</v>
      </c>
      <c r="C45" s="1176">
        <v>15400</v>
      </c>
      <c r="D45" s="947">
        <v>45</v>
      </c>
      <c r="E45" s="1176">
        <v>93284</v>
      </c>
      <c r="F45" s="1310">
        <v>180.11</v>
      </c>
      <c r="G45" s="1335">
        <v>337</v>
      </c>
      <c r="H45" s="1335">
        <v>26</v>
      </c>
      <c r="I45" s="1306" t="s">
        <v>748</v>
      </c>
    </row>
    <row r="46" spans="1:9" s="333" customFormat="1" ht="9.6" customHeight="1">
      <c r="A46" s="1288" t="s">
        <v>749</v>
      </c>
      <c r="B46" s="1156">
        <v>6500</v>
      </c>
      <c r="C46" s="1156">
        <v>15400</v>
      </c>
      <c r="D46" s="1020">
        <v>44</v>
      </c>
      <c r="E46" s="1295">
        <v>97136.7</v>
      </c>
      <c r="F46" s="1311">
        <v>179.09</v>
      </c>
      <c r="G46" s="1334">
        <v>311</v>
      </c>
      <c r="H46" s="1334">
        <v>24</v>
      </c>
      <c r="I46" s="1307" t="s">
        <v>749</v>
      </c>
    </row>
    <row r="47" spans="1:9" s="333" customFormat="1" ht="9.6" customHeight="1">
      <c r="A47" s="1287" t="s">
        <v>740</v>
      </c>
      <c r="B47" s="1176">
        <v>6500</v>
      </c>
      <c r="C47" s="1176">
        <v>15400</v>
      </c>
      <c r="D47" s="947">
        <v>44</v>
      </c>
      <c r="E47" s="1294">
        <v>97280.1</v>
      </c>
      <c r="F47" s="1310">
        <v>172.06</v>
      </c>
      <c r="G47" s="1335">
        <v>296</v>
      </c>
      <c r="H47" s="1335">
        <v>25</v>
      </c>
      <c r="I47" s="1306" t="s">
        <v>740</v>
      </c>
    </row>
    <row r="48" spans="1:9" s="333" customFormat="1" ht="9.6" customHeight="1">
      <c r="A48" s="1288" t="s">
        <v>742</v>
      </c>
      <c r="B48" s="1156">
        <v>6500</v>
      </c>
      <c r="C48" s="1156">
        <v>15400</v>
      </c>
      <c r="D48" s="1020">
        <v>45</v>
      </c>
      <c r="E48" s="1156">
        <v>59170</v>
      </c>
      <c r="F48" s="1311">
        <v>186.17</v>
      </c>
      <c r="G48" s="1334">
        <v>251</v>
      </c>
      <c r="H48" s="1334">
        <v>23</v>
      </c>
      <c r="I48" s="1307" t="s">
        <v>742</v>
      </c>
    </row>
    <row r="49" spans="1:9" s="333" customFormat="1" ht="9.6" customHeight="1">
      <c r="A49" s="1287" t="s">
        <v>743</v>
      </c>
      <c r="B49" s="1176">
        <v>6500</v>
      </c>
      <c r="C49" s="1176">
        <v>15400</v>
      </c>
      <c r="D49" s="947">
        <v>45</v>
      </c>
      <c r="E49" s="1176">
        <v>63200</v>
      </c>
      <c r="F49" s="1310">
        <v>177.77</v>
      </c>
      <c r="G49" s="1335">
        <v>216</v>
      </c>
      <c r="H49" s="1335">
        <v>19</v>
      </c>
      <c r="I49" s="1306" t="s">
        <v>743</v>
      </c>
    </row>
    <row r="50" spans="1:9" s="333" customFormat="1" ht="9.6" customHeight="1">
      <c r="A50" s="1288" t="s">
        <v>737</v>
      </c>
      <c r="B50" s="1156">
        <v>6500</v>
      </c>
      <c r="C50" s="1156">
        <v>15400</v>
      </c>
      <c r="D50" s="1020">
        <v>47</v>
      </c>
      <c r="E50" s="1156">
        <v>63000</v>
      </c>
      <c r="F50" s="1311">
        <v>186.16</v>
      </c>
      <c r="G50" s="1334">
        <v>235</v>
      </c>
      <c r="H50" s="1334">
        <v>18</v>
      </c>
      <c r="I50" s="1307" t="s">
        <v>737</v>
      </c>
    </row>
    <row r="51" spans="1:9" s="333" customFormat="1" ht="9.6" customHeight="1">
      <c r="A51" s="1287" t="s">
        <v>744</v>
      </c>
      <c r="B51" s="1176">
        <v>6500</v>
      </c>
      <c r="C51" s="1176">
        <v>15400</v>
      </c>
      <c r="D51" s="947">
        <v>49</v>
      </c>
      <c r="E51" s="1176">
        <v>58540</v>
      </c>
      <c r="F51" s="1310">
        <v>178.52</v>
      </c>
      <c r="G51" s="1335">
        <v>252</v>
      </c>
      <c r="H51" s="1335">
        <v>17</v>
      </c>
      <c r="I51" s="1306" t="s">
        <v>744</v>
      </c>
    </row>
    <row r="52" spans="1:9" s="333" customFormat="1" ht="9.6" customHeight="1">
      <c r="A52" s="1288" t="s">
        <v>745</v>
      </c>
      <c r="B52" s="1156">
        <v>6500</v>
      </c>
      <c r="C52" s="1156">
        <v>15400</v>
      </c>
      <c r="D52" s="1020">
        <v>49</v>
      </c>
      <c r="E52" s="1156">
        <v>65572</v>
      </c>
      <c r="F52" s="1311">
        <v>178.09</v>
      </c>
      <c r="G52" s="1334">
        <v>246</v>
      </c>
      <c r="H52" s="1334">
        <v>18</v>
      </c>
      <c r="I52" s="1307" t="s">
        <v>745</v>
      </c>
    </row>
    <row r="53" spans="1:9" s="333" customFormat="1" ht="9.6" customHeight="1">
      <c r="A53" s="1287" t="s">
        <v>738</v>
      </c>
      <c r="B53" s="1176">
        <v>8625</v>
      </c>
      <c r="C53" s="1176">
        <v>20350</v>
      </c>
      <c r="D53" s="947">
        <v>49</v>
      </c>
      <c r="E53" s="1176">
        <v>65152</v>
      </c>
      <c r="F53" s="1310">
        <v>175.25</v>
      </c>
      <c r="G53" s="1335">
        <v>283</v>
      </c>
      <c r="H53" s="1335">
        <v>23</v>
      </c>
      <c r="I53" s="1306" t="s">
        <v>738</v>
      </c>
    </row>
    <row r="54" spans="1:9" s="333" customFormat="1" ht="9.6" customHeight="1">
      <c r="A54" s="1292">
        <v>2021</v>
      </c>
      <c r="B54" s="1156"/>
      <c r="C54" s="1156"/>
      <c r="D54" s="1020"/>
      <c r="E54" s="1156"/>
      <c r="F54" s="1311"/>
      <c r="G54" s="1334"/>
      <c r="H54" s="1334"/>
      <c r="I54" s="1312">
        <v>2021</v>
      </c>
    </row>
    <row r="55" spans="1:9" s="333" customFormat="1" ht="9.6" customHeight="1">
      <c r="A55" s="1287" t="s">
        <v>746</v>
      </c>
      <c r="B55" s="1176">
        <v>14750</v>
      </c>
      <c r="C55" s="1176">
        <v>31700</v>
      </c>
      <c r="D55" s="947">
        <v>49</v>
      </c>
      <c r="E55" s="1176">
        <v>65020</v>
      </c>
      <c r="F55" s="1310">
        <v>182.27</v>
      </c>
      <c r="G55" s="1335">
        <v>281</v>
      </c>
      <c r="H55" s="1335">
        <v>23</v>
      </c>
      <c r="I55" s="1306" t="s">
        <v>746</v>
      </c>
    </row>
    <row r="56" spans="1:9" s="333" customFormat="1" ht="9.6" customHeight="1">
      <c r="A56" s="1288" t="s">
        <v>747</v>
      </c>
      <c r="B56" s="1156">
        <v>14750</v>
      </c>
      <c r="C56" s="1156">
        <v>31700</v>
      </c>
      <c r="D56" s="1020">
        <v>50</v>
      </c>
      <c r="E56" s="1156">
        <v>65031</v>
      </c>
      <c r="F56" s="1311">
        <v>184.75</v>
      </c>
      <c r="G56" s="1334">
        <v>282</v>
      </c>
      <c r="H56" s="1334">
        <v>30</v>
      </c>
      <c r="I56" s="1307" t="s">
        <v>747</v>
      </c>
    </row>
    <row r="57" spans="1:9" s="333" customFormat="1" ht="9.6" customHeight="1">
      <c r="A57" s="1287" t="s">
        <v>739</v>
      </c>
      <c r="B57" s="1176">
        <v>14750</v>
      </c>
      <c r="C57" s="1176">
        <v>31700</v>
      </c>
      <c r="D57" s="947">
        <v>52</v>
      </c>
      <c r="E57" s="1176" t="s">
        <v>430</v>
      </c>
      <c r="F57" s="1310">
        <v>198.67</v>
      </c>
      <c r="G57" s="1335">
        <v>283</v>
      </c>
      <c r="H57" s="1335">
        <v>31</v>
      </c>
      <c r="I57" s="1306" t="s">
        <v>739</v>
      </c>
    </row>
    <row r="58" spans="1:9" s="333" customFormat="1" ht="9.6" customHeight="1">
      <c r="A58" s="1288" t="s">
        <v>748</v>
      </c>
      <c r="B58" s="1156">
        <v>14750</v>
      </c>
      <c r="C58" s="1156">
        <v>31700</v>
      </c>
      <c r="D58" s="1020">
        <v>51</v>
      </c>
      <c r="E58" s="1156" t="s">
        <v>430</v>
      </c>
      <c r="F58" s="1311">
        <v>212.08</v>
      </c>
      <c r="G58" s="1334">
        <v>283</v>
      </c>
      <c r="H58" s="1334">
        <v>31</v>
      </c>
      <c r="I58" s="1307" t="s">
        <v>748</v>
      </c>
    </row>
    <row r="59" spans="1:9" s="333" customFormat="1" ht="9.6" customHeight="1">
      <c r="A59" s="1287" t="s">
        <v>749</v>
      </c>
      <c r="B59" s="1176">
        <v>14750</v>
      </c>
      <c r="C59" s="1176">
        <v>31700</v>
      </c>
      <c r="D59" s="947">
        <v>50</v>
      </c>
      <c r="E59" s="1176" t="s">
        <v>430</v>
      </c>
      <c r="F59" s="1310">
        <v>205.03</v>
      </c>
      <c r="G59" s="1335">
        <v>283</v>
      </c>
      <c r="H59" s="1335">
        <v>31</v>
      </c>
      <c r="I59" s="1306" t="s">
        <v>749</v>
      </c>
    </row>
    <row r="60" spans="1:9" s="333" customFormat="1" ht="9.6" customHeight="1" thickBot="1">
      <c r="A60" s="1583" t="s">
        <v>740</v>
      </c>
      <c r="B60" s="1001">
        <v>14750</v>
      </c>
      <c r="C60" s="1001">
        <v>31700</v>
      </c>
      <c r="D60" s="945">
        <v>50</v>
      </c>
      <c r="E60" s="1001" t="s">
        <v>430</v>
      </c>
      <c r="F60" s="1584" t="s">
        <v>430</v>
      </c>
      <c r="G60" s="1585">
        <v>281</v>
      </c>
      <c r="H60" s="1585">
        <v>30</v>
      </c>
      <c r="I60" s="1586" t="s">
        <v>740</v>
      </c>
    </row>
    <row r="61" spans="1:9" s="47" customFormat="1" ht="12.75" customHeight="1">
      <c r="A61" s="1081" t="s">
        <v>2604</v>
      </c>
      <c r="B61" s="1479" t="s">
        <v>1656</v>
      </c>
      <c r="C61" s="1807"/>
      <c r="D61" s="1807"/>
      <c r="F61" s="1779" t="s">
        <v>2144</v>
      </c>
      <c r="G61" s="1779"/>
      <c r="H61" s="59"/>
      <c r="I61" s="59"/>
    </row>
    <row r="62" spans="1:9" s="47" customFormat="1" ht="9.75" customHeight="1">
      <c r="A62" s="53"/>
      <c r="B62" s="174" t="s">
        <v>1818</v>
      </c>
      <c r="C62" s="59"/>
      <c r="D62" s="59"/>
      <c r="E62" s="59"/>
      <c r="F62" s="1807" t="s">
        <v>1657</v>
      </c>
      <c r="G62" s="1807"/>
      <c r="H62" s="59"/>
      <c r="I62" s="59"/>
    </row>
    <row r="63" spans="1:9" s="47" customFormat="1" ht="11.1" customHeight="1">
      <c r="C63" s="174"/>
      <c r="D63" s="59"/>
      <c r="F63" s="1453" t="s">
        <v>1658</v>
      </c>
      <c r="G63" s="59"/>
      <c r="H63" s="59"/>
      <c r="I63" s="59"/>
    </row>
    <row r="64" spans="1:9" ht="12" customHeight="1">
      <c r="A64" s="47"/>
      <c r="B64" s="1475"/>
      <c r="C64" s="47"/>
      <c r="D64" s="47"/>
      <c r="E64" s="47"/>
      <c r="F64" s="47"/>
      <c r="G64" s="47"/>
      <c r="H64" s="47"/>
      <c r="I64" s="47"/>
    </row>
    <row r="65" ht="11.25" customHeight="1"/>
    <row r="66" ht="12" customHeight="1"/>
    <row r="67" ht="12.6" customHeight="1"/>
    <row r="68" ht="12" customHeight="1"/>
  </sheetData>
  <mergeCells count="17">
    <mergeCell ref="F1:G1"/>
    <mergeCell ref="A1:E1"/>
    <mergeCell ref="C3:C5"/>
    <mergeCell ref="D3:D5"/>
    <mergeCell ref="E3:E5"/>
    <mergeCell ref="B2:C2"/>
    <mergeCell ref="D2:E2"/>
    <mergeCell ref="F2:F5"/>
    <mergeCell ref="G2:H2"/>
    <mergeCell ref="A2:A5"/>
    <mergeCell ref="B3:B5"/>
    <mergeCell ref="H3:H5"/>
    <mergeCell ref="G3:G5"/>
    <mergeCell ref="F62:G62"/>
    <mergeCell ref="I2:I5"/>
    <mergeCell ref="F61:G61"/>
    <mergeCell ref="C61:D61"/>
  </mergeCells>
  <phoneticPr fontId="0" type="noConversion"/>
  <pageMargins left="0.62992125984252001" right="0.39370078740157499" top="0.511811023622047" bottom="0.511811023622047" header="0" footer="0.51333337007869995"/>
  <pageSetup paperSize="448" firstPageNumber="44" orientation="portrait" useFirstPageNumber="1" r:id="rId1"/>
  <headerFooter alignWithMargins="0">
    <oddFooter>&amp;C&amp;"Times New Roman,Regular"&amp;8&amp;P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0"/>
  <dimension ref="A1:AA77"/>
  <sheetViews>
    <sheetView zoomScale="180" zoomScaleNormal="180" workbookViewId="0">
      <pane xSplit="1" ySplit="4" topLeftCell="B51" activePane="bottomRight" state="frozen"/>
      <selection activeCell="F85" sqref="F85"/>
      <selection pane="topRight" activeCell="F85" sqref="F85"/>
      <selection pane="bottomLeft" activeCell="F85" sqref="F85"/>
      <selection pane="bottomRight" activeCell="F58" sqref="F58"/>
    </sheetView>
  </sheetViews>
  <sheetFormatPr defaultColWidth="9.140625" defaultRowHeight="12.75"/>
  <cols>
    <col min="1" max="1" width="7.85546875" style="2" customWidth="1"/>
    <col min="2" max="2" width="7.7109375" style="2" customWidth="1"/>
    <col min="3" max="3" width="6.7109375" style="2" customWidth="1"/>
    <col min="4" max="4" width="6.42578125" style="2" customWidth="1"/>
    <col min="5" max="5" width="6.7109375" style="2" customWidth="1"/>
    <col min="6" max="6" width="7.28515625" style="2" customWidth="1"/>
    <col min="7" max="7" width="7" style="2" customWidth="1"/>
    <col min="8" max="8" width="7.28515625" style="2" customWidth="1"/>
    <col min="9" max="9" width="6.7109375" style="2" customWidth="1"/>
    <col min="10" max="10" width="8.7109375" style="2" customWidth="1"/>
    <col min="11" max="11" width="6.28515625" style="2" customWidth="1"/>
    <col min="12" max="12" width="7.7109375" style="2" customWidth="1"/>
    <col min="13" max="13" width="7" style="2" customWidth="1"/>
    <col min="14" max="14" width="6.28515625" style="2" customWidth="1"/>
    <col min="15" max="15" width="6.5703125" style="2" customWidth="1"/>
    <col min="16" max="16" width="7.140625" style="2" customWidth="1"/>
    <col min="17" max="17" width="7.28515625" style="2" customWidth="1"/>
    <col min="18" max="18" width="7.42578125" style="2" customWidth="1"/>
    <col min="19" max="19" width="7.140625" style="2" customWidth="1"/>
    <col min="20" max="20" width="6.5703125" style="2" customWidth="1"/>
    <col min="21" max="21" width="6.85546875" style="2" customWidth="1"/>
    <col min="22" max="22" width="7.140625" style="2" customWidth="1"/>
    <col min="23" max="23" width="9.140625" style="2"/>
    <col min="24" max="24" width="15.85546875" style="2" bestFit="1" customWidth="1"/>
    <col min="25" max="16384" width="9.140625" style="2"/>
  </cols>
  <sheetData>
    <row r="1" spans="1:24" s="28" customFormat="1" ht="17.25" customHeight="1">
      <c r="A1" s="2040" t="s">
        <v>21</v>
      </c>
      <c r="B1" s="2040"/>
      <c r="C1" s="2040"/>
      <c r="D1" s="2040"/>
      <c r="E1" s="2040"/>
      <c r="F1" s="2040"/>
      <c r="G1" s="2040"/>
      <c r="H1" s="2040"/>
      <c r="I1" s="2040"/>
      <c r="J1" s="2040"/>
      <c r="K1" s="2040"/>
      <c r="L1" s="2065" t="s">
        <v>469</v>
      </c>
      <c r="M1" s="2065"/>
      <c r="N1" s="2065"/>
      <c r="O1" s="2065"/>
      <c r="P1" s="2065"/>
      <c r="Q1" s="2065"/>
      <c r="R1" s="2065"/>
      <c r="S1" s="2065"/>
      <c r="T1" s="2065"/>
      <c r="U1" s="2041" t="s">
        <v>1447</v>
      </c>
      <c r="V1" s="2041"/>
      <c r="W1" s="64"/>
    </row>
    <row r="2" spans="1:24" s="25" customFormat="1" ht="12.75" customHeight="1">
      <c r="A2" s="11"/>
      <c r="B2" s="11"/>
      <c r="C2" s="11"/>
      <c r="D2" s="11"/>
      <c r="E2" s="11"/>
      <c r="F2" s="11"/>
      <c r="G2" s="11"/>
      <c r="I2" s="11"/>
      <c r="L2" s="11"/>
      <c r="M2" s="11"/>
      <c r="N2" s="11"/>
      <c r="O2" s="11"/>
      <c r="P2" s="11"/>
      <c r="Q2" s="11"/>
      <c r="R2" s="11"/>
      <c r="T2" s="108"/>
      <c r="U2" s="2061" t="s">
        <v>25</v>
      </c>
      <c r="V2" s="2061"/>
      <c r="W2" s="108"/>
    </row>
    <row r="3" spans="1:24" s="106" customFormat="1" ht="71.25" customHeight="1">
      <c r="A3" s="2075" t="s">
        <v>663</v>
      </c>
      <c r="B3" s="1212" t="s">
        <v>1691</v>
      </c>
      <c r="C3" s="1212" t="s">
        <v>686</v>
      </c>
      <c r="D3" s="1212" t="s">
        <v>1683</v>
      </c>
      <c r="E3" s="1212" t="s">
        <v>396</v>
      </c>
      <c r="F3" s="1212" t="s">
        <v>180</v>
      </c>
      <c r="G3" s="1212" t="s">
        <v>397</v>
      </c>
      <c r="H3" s="1212" t="s">
        <v>1684</v>
      </c>
      <c r="I3" s="1212" t="s">
        <v>1685</v>
      </c>
      <c r="J3" s="1212" t="s">
        <v>1686</v>
      </c>
      <c r="K3" s="1212" t="s">
        <v>398</v>
      </c>
      <c r="L3" s="1212" t="s">
        <v>1687</v>
      </c>
      <c r="M3" s="1212" t="s">
        <v>1688</v>
      </c>
      <c r="N3" s="1212" t="s">
        <v>399</v>
      </c>
      <c r="O3" s="1212" t="s">
        <v>1689</v>
      </c>
      <c r="P3" s="1212" t="s">
        <v>1690</v>
      </c>
      <c r="Q3" s="1212" t="s">
        <v>869</v>
      </c>
      <c r="R3" s="1212" t="s">
        <v>394</v>
      </c>
      <c r="S3" s="1212" t="s">
        <v>870</v>
      </c>
      <c r="T3" s="1212" t="s">
        <v>395</v>
      </c>
      <c r="U3" s="1215" t="s">
        <v>871</v>
      </c>
      <c r="V3" s="2026" t="s">
        <v>663</v>
      </c>
      <c r="W3" s="109"/>
      <c r="X3" s="109"/>
    </row>
    <row r="4" spans="1:24" s="113" customFormat="1">
      <c r="A4" s="2045"/>
      <c r="B4" s="110">
        <v>1</v>
      </c>
      <c r="C4" s="110">
        <v>2</v>
      </c>
      <c r="D4" s="110">
        <v>3</v>
      </c>
      <c r="E4" s="110">
        <v>4</v>
      </c>
      <c r="F4" s="110">
        <v>5</v>
      </c>
      <c r="G4" s="110">
        <v>6</v>
      </c>
      <c r="H4" s="110">
        <v>7</v>
      </c>
      <c r="I4" s="110">
        <v>8</v>
      </c>
      <c r="J4" s="110">
        <v>9</v>
      </c>
      <c r="K4" s="110">
        <v>10</v>
      </c>
      <c r="L4" s="110">
        <v>11</v>
      </c>
      <c r="M4" s="110">
        <v>12</v>
      </c>
      <c r="N4" s="110">
        <v>13</v>
      </c>
      <c r="O4" s="110">
        <v>14</v>
      </c>
      <c r="P4" s="110">
        <v>15</v>
      </c>
      <c r="Q4" s="110">
        <v>16</v>
      </c>
      <c r="R4" s="110">
        <v>17</v>
      </c>
      <c r="S4" s="110">
        <v>18</v>
      </c>
      <c r="T4" s="110">
        <v>19</v>
      </c>
      <c r="U4" s="110">
        <v>20</v>
      </c>
      <c r="V4" s="2020"/>
      <c r="W4" s="111"/>
      <c r="X4" s="112"/>
    </row>
    <row r="5" spans="1:24" ht="10.7" customHeight="1">
      <c r="A5" s="1211" t="s">
        <v>734</v>
      </c>
      <c r="B5" s="1314">
        <v>48798</v>
      </c>
      <c r="C5" s="1314">
        <v>14259</v>
      </c>
      <c r="D5" s="1314">
        <v>3309</v>
      </c>
      <c r="E5" s="1314">
        <v>45813</v>
      </c>
      <c r="F5" s="1314">
        <v>3989</v>
      </c>
      <c r="G5" s="1314">
        <v>23016</v>
      </c>
      <c r="H5" s="1314">
        <v>39103</v>
      </c>
      <c r="I5" s="1314">
        <v>1944</v>
      </c>
      <c r="J5" s="1314">
        <v>31112</v>
      </c>
      <c r="K5" s="1314">
        <v>4718</v>
      </c>
      <c r="L5" s="1314">
        <v>25678</v>
      </c>
      <c r="M5" s="1314">
        <v>7783</v>
      </c>
      <c r="N5" s="1314">
        <v>7064</v>
      </c>
      <c r="O5" s="1314">
        <v>6602</v>
      </c>
      <c r="P5" s="1314">
        <v>26685</v>
      </c>
      <c r="Q5" s="1314">
        <f>SUM(B5:P5)</f>
        <v>289873</v>
      </c>
      <c r="R5" s="1314">
        <v>10707</v>
      </c>
      <c r="S5" s="1314">
        <v>300580</v>
      </c>
      <c r="T5" s="1314">
        <v>16583</v>
      </c>
      <c r="U5" s="1314">
        <f>S5+T5</f>
        <v>317163</v>
      </c>
      <c r="V5" s="1214" t="s">
        <v>734</v>
      </c>
    </row>
    <row r="6" spans="1:24" ht="10.7" customHeight="1">
      <c r="A6" s="376"/>
      <c r="B6" s="800">
        <f t="shared" ref="B6:S6" si="0">(B5/$S5)*100</f>
        <v>16.234613081376008</v>
      </c>
      <c r="C6" s="800">
        <f t="shared" si="0"/>
        <v>4.7438285980437822</v>
      </c>
      <c r="D6" s="800">
        <f t="shared" si="0"/>
        <v>1.1008716481469161</v>
      </c>
      <c r="E6" s="800">
        <f t="shared" si="0"/>
        <v>15.241533036130148</v>
      </c>
      <c r="F6" s="800">
        <f t="shared" si="0"/>
        <v>1.3271009381861734</v>
      </c>
      <c r="G6" s="800">
        <f t="shared" si="0"/>
        <v>7.657196087564043</v>
      </c>
      <c r="H6" s="800">
        <f t="shared" si="0"/>
        <v>13.009182247654536</v>
      </c>
      <c r="I6" s="800">
        <f t="shared" si="0"/>
        <v>0.64674961740634773</v>
      </c>
      <c r="J6" s="800">
        <f t="shared" si="0"/>
        <v>10.350655399560848</v>
      </c>
      <c r="K6" s="800">
        <f t="shared" si="0"/>
        <v>1.5696320447135537</v>
      </c>
      <c r="L6" s="800">
        <f t="shared" si="0"/>
        <v>8.5428172200412522</v>
      </c>
      <c r="M6" s="800">
        <f t="shared" si="0"/>
        <v>2.5893273005522657</v>
      </c>
      <c r="N6" s="800">
        <f t="shared" si="0"/>
        <v>2.3501230953489922</v>
      </c>
      <c r="O6" s="800">
        <f t="shared" si="0"/>
        <v>2.1964202541752611</v>
      </c>
      <c r="P6" s="800">
        <f t="shared" si="0"/>
        <v>8.8778361833788004</v>
      </c>
      <c r="Q6" s="800">
        <f t="shared" si="0"/>
        <v>96.437886752278928</v>
      </c>
      <c r="R6" s="800">
        <f t="shared" si="0"/>
        <v>3.5621132477210731</v>
      </c>
      <c r="S6" s="800">
        <f t="shared" si="0"/>
        <v>100</v>
      </c>
      <c r="T6" s="755"/>
      <c r="U6" s="755"/>
      <c r="V6" s="377"/>
    </row>
    <row r="7" spans="1:24" ht="10.7" customHeight="1">
      <c r="A7" s="1211" t="s">
        <v>735</v>
      </c>
      <c r="B7" s="1314">
        <v>52419</v>
      </c>
      <c r="C7" s="1314">
        <v>14783</v>
      </c>
      <c r="D7" s="1314">
        <v>3644</v>
      </c>
      <c r="E7" s="1314">
        <v>51527</v>
      </c>
      <c r="F7" s="1314">
        <v>4425</v>
      </c>
      <c r="G7" s="1314">
        <v>25397</v>
      </c>
      <c r="H7" s="1314">
        <v>44103</v>
      </c>
      <c r="I7" s="1314">
        <v>2202</v>
      </c>
      <c r="J7" s="1314">
        <v>34444</v>
      </c>
      <c r="K7" s="1314">
        <v>5197</v>
      </c>
      <c r="L7" s="1314">
        <v>27601</v>
      </c>
      <c r="M7" s="1314">
        <v>8624</v>
      </c>
      <c r="N7" s="1314">
        <v>7873</v>
      </c>
      <c r="O7" s="1314">
        <v>7197</v>
      </c>
      <c r="P7" s="1314">
        <v>30028</v>
      </c>
      <c r="Q7" s="1314">
        <f>SUM(B7:P7)</f>
        <v>319464</v>
      </c>
      <c r="R7" s="1314">
        <v>13510</v>
      </c>
      <c r="S7" s="1314">
        <v>332973</v>
      </c>
      <c r="T7" s="1314">
        <v>17553</v>
      </c>
      <c r="U7" s="1314">
        <f>S7+T7</f>
        <v>350526</v>
      </c>
      <c r="V7" s="1214" t="s">
        <v>735</v>
      </c>
    </row>
    <row r="8" spans="1:24" ht="10.7" customHeight="1">
      <c r="A8" s="376"/>
      <c r="B8" s="800">
        <f t="shared" ref="B8:S8" si="1">(B7/$S7)*100</f>
        <v>15.742717878026147</v>
      </c>
      <c r="C8" s="800">
        <f t="shared" si="1"/>
        <v>4.439699314959471</v>
      </c>
      <c r="D8" s="800">
        <f t="shared" si="1"/>
        <v>1.0943830280533255</v>
      </c>
      <c r="E8" s="800">
        <f t="shared" si="1"/>
        <v>15.47482828938082</v>
      </c>
      <c r="F8" s="800">
        <f t="shared" si="1"/>
        <v>1.3289365804434594</v>
      </c>
      <c r="G8" s="800">
        <f t="shared" si="1"/>
        <v>7.6273451601180877</v>
      </c>
      <c r="H8" s="800">
        <f t="shared" si="1"/>
        <v>13.245218080745286</v>
      </c>
      <c r="I8" s="800">
        <f t="shared" si="1"/>
        <v>0.66131488138677907</v>
      </c>
      <c r="J8" s="800">
        <f t="shared" si="1"/>
        <v>10.344382277241698</v>
      </c>
      <c r="K8" s="800">
        <f t="shared" si="1"/>
        <v>1.560787210975064</v>
      </c>
      <c r="L8" s="800">
        <f t="shared" si="1"/>
        <v>8.2892606908067616</v>
      </c>
      <c r="M8" s="800">
        <f t="shared" si="1"/>
        <v>2.5899997897727443</v>
      </c>
      <c r="N8" s="800">
        <f t="shared" si="1"/>
        <v>2.3644559769110409</v>
      </c>
      <c r="O8" s="800">
        <f t="shared" si="1"/>
        <v>2.1614365128704129</v>
      </c>
      <c r="P8" s="800">
        <f t="shared" si="1"/>
        <v>9.0181486186567685</v>
      </c>
      <c r="Q8" s="800">
        <f t="shared" si="1"/>
        <v>95.942914290347872</v>
      </c>
      <c r="R8" s="800">
        <f t="shared" si="1"/>
        <v>4.0573860343030814</v>
      </c>
      <c r="S8" s="800">
        <f t="shared" si="1"/>
        <v>100</v>
      </c>
      <c r="T8" s="755"/>
      <c r="U8" s="755"/>
      <c r="V8" s="377"/>
    </row>
    <row r="9" spans="1:24" ht="10.7" customHeight="1">
      <c r="A9" s="7" t="s">
        <v>736</v>
      </c>
      <c r="B9" s="1314">
        <v>56167</v>
      </c>
      <c r="C9" s="1314">
        <v>15456</v>
      </c>
      <c r="D9" s="1314">
        <v>4041</v>
      </c>
      <c r="E9" s="1314">
        <v>58795</v>
      </c>
      <c r="F9" s="1314">
        <v>4909</v>
      </c>
      <c r="G9" s="1314">
        <v>29061</v>
      </c>
      <c r="H9" s="1314">
        <v>50278</v>
      </c>
      <c r="I9" s="1314">
        <v>2512</v>
      </c>
      <c r="J9" s="1314">
        <v>38289</v>
      </c>
      <c r="K9" s="1314">
        <v>5934</v>
      </c>
      <c r="L9" s="1314">
        <v>29744</v>
      </c>
      <c r="M9" s="1314">
        <v>9638</v>
      </c>
      <c r="N9" s="1314">
        <v>8788</v>
      </c>
      <c r="O9" s="1314">
        <v>8104</v>
      </c>
      <c r="P9" s="1314">
        <v>33876</v>
      </c>
      <c r="Q9" s="1314">
        <f>SUM(B9:P9)</f>
        <v>355592</v>
      </c>
      <c r="R9" s="1314">
        <v>15113</v>
      </c>
      <c r="S9" s="1314">
        <v>370707</v>
      </c>
      <c r="T9" s="1314">
        <v>18928</v>
      </c>
      <c r="U9" s="1314">
        <f>S9+T9</f>
        <v>389635</v>
      </c>
      <c r="V9" s="45" t="s">
        <v>736</v>
      </c>
    </row>
    <row r="10" spans="1:24" ht="10.7" customHeight="1">
      <c r="A10" s="376"/>
      <c r="B10" s="800">
        <f t="shared" ref="B10:S10" si="2">(B9/$S9)*100</f>
        <v>15.15131896619163</v>
      </c>
      <c r="C10" s="800">
        <f t="shared" si="2"/>
        <v>4.1693304955126287</v>
      </c>
      <c r="D10" s="800">
        <f t="shared" si="2"/>
        <v>1.0900792269905881</v>
      </c>
      <c r="E10" s="800">
        <f t="shared" si="2"/>
        <v>15.860234632742301</v>
      </c>
      <c r="F10" s="800">
        <f t="shared" si="2"/>
        <v>1.3242264106153918</v>
      </c>
      <c r="G10" s="800">
        <f t="shared" si="2"/>
        <v>7.8393448194935624</v>
      </c>
      <c r="H10" s="800">
        <f t="shared" si="2"/>
        <v>13.56273283212888</v>
      </c>
      <c r="I10" s="800">
        <f t="shared" si="2"/>
        <v>0.67762410744873991</v>
      </c>
      <c r="J10" s="800">
        <f t="shared" si="2"/>
        <v>10.328642297016243</v>
      </c>
      <c r="K10" s="800">
        <f t="shared" si="2"/>
        <v>1.6007251009557415</v>
      </c>
      <c r="L10" s="800">
        <f t="shared" si="2"/>
        <v>8.0235873614471807</v>
      </c>
      <c r="M10" s="800">
        <f t="shared" si="2"/>
        <v>2.5998969536588192</v>
      </c>
      <c r="N10" s="800">
        <f t="shared" si="2"/>
        <v>2.3706053567912124</v>
      </c>
      <c r="O10" s="800">
        <f t="shared" si="2"/>
        <v>2.1860930600177499</v>
      </c>
      <c r="P10" s="800">
        <f t="shared" si="2"/>
        <v>9.1382142770435948</v>
      </c>
      <c r="Q10" s="800">
        <f t="shared" si="2"/>
        <v>95.922655898054259</v>
      </c>
      <c r="R10" s="800">
        <f t="shared" si="2"/>
        <v>4.0768045923060532</v>
      </c>
      <c r="S10" s="800">
        <f t="shared" si="2"/>
        <v>100</v>
      </c>
      <c r="T10" s="755"/>
      <c r="U10" s="755"/>
      <c r="V10" s="377"/>
    </row>
    <row r="11" spans="1:24" ht="10.7" customHeight="1">
      <c r="A11" s="1211" t="s">
        <v>741</v>
      </c>
      <c r="B11" s="1314">
        <v>62223</v>
      </c>
      <c r="C11" s="1314">
        <v>16317</v>
      </c>
      <c r="D11" s="1314">
        <v>4643</v>
      </c>
      <c r="E11" s="1314">
        <v>68923</v>
      </c>
      <c r="F11" s="1314">
        <v>5392</v>
      </c>
      <c r="G11" s="1314">
        <v>32797</v>
      </c>
      <c r="H11" s="1314">
        <v>56984</v>
      </c>
      <c r="I11" s="1314">
        <v>2853</v>
      </c>
      <c r="J11" s="1314">
        <v>43206</v>
      </c>
      <c r="K11" s="1314">
        <v>6684</v>
      </c>
      <c r="L11" s="1314">
        <v>32157</v>
      </c>
      <c r="M11" s="1314">
        <v>11036</v>
      </c>
      <c r="N11" s="1314">
        <v>9935</v>
      </c>
      <c r="O11" s="1314">
        <v>9022</v>
      </c>
      <c r="P11" s="1314">
        <v>38283</v>
      </c>
      <c r="Q11" s="1314">
        <f>SUM(B11:P11)</f>
        <v>400455</v>
      </c>
      <c r="R11" s="1314">
        <v>15274</v>
      </c>
      <c r="S11" s="1314">
        <v>415728</v>
      </c>
      <c r="T11" s="1314">
        <v>27208</v>
      </c>
      <c r="U11" s="1314">
        <v>442935</v>
      </c>
      <c r="V11" s="1214" t="s">
        <v>741</v>
      </c>
    </row>
    <row r="12" spans="1:24" ht="10.7" customHeight="1">
      <c r="A12" s="376"/>
      <c r="B12" s="800">
        <f t="shared" ref="B12:S12" si="3">(B11/$S11)*100</f>
        <v>14.967238194203903</v>
      </c>
      <c r="C12" s="800">
        <f t="shared" si="3"/>
        <v>3.9249220644267404</v>
      </c>
      <c r="D12" s="800">
        <f t="shared" si="3"/>
        <v>1.116836008159181</v>
      </c>
      <c r="E12" s="800">
        <f t="shared" si="3"/>
        <v>16.578868875803408</v>
      </c>
      <c r="F12" s="800">
        <f t="shared" si="3"/>
        <v>1.2970018858484393</v>
      </c>
      <c r="G12" s="800">
        <f t="shared" si="3"/>
        <v>7.8890524573759766</v>
      </c>
      <c r="H12" s="800">
        <f t="shared" si="3"/>
        <v>13.707039217950198</v>
      </c>
      <c r="I12" s="800">
        <f t="shared" si="3"/>
        <v>0.68626602009005888</v>
      </c>
      <c r="J12" s="800">
        <f t="shared" si="3"/>
        <v>10.392853019281837</v>
      </c>
      <c r="K12" s="800">
        <f t="shared" si="3"/>
        <v>1.6077820113150905</v>
      </c>
      <c r="L12" s="800">
        <f t="shared" si="3"/>
        <v>7.7351056459993073</v>
      </c>
      <c r="M12" s="800">
        <f t="shared" si="3"/>
        <v>2.654620328676442</v>
      </c>
      <c r="N12" s="800">
        <f t="shared" si="3"/>
        <v>2.3897837047300157</v>
      </c>
      <c r="O12" s="800">
        <f t="shared" si="3"/>
        <v>2.1701689566254858</v>
      </c>
      <c r="P12" s="800">
        <f t="shared" si="3"/>
        <v>9.2086652811453646</v>
      </c>
      <c r="Q12" s="800">
        <f t="shared" si="3"/>
        <v>96.326203671631447</v>
      </c>
      <c r="R12" s="800">
        <f t="shared" si="3"/>
        <v>3.6740368702613249</v>
      </c>
      <c r="S12" s="800">
        <f t="shared" si="3"/>
        <v>100</v>
      </c>
      <c r="T12" s="755"/>
      <c r="U12" s="755"/>
      <c r="V12" s="377"/>
    </row>
    <row r="13" spans="1:24" ht="10.7" customHeight="1">
      <c r="A13" s="9" t="s">
        <v>750</v>
      </c>
      <c r="B13" s="753" t="s">
        <v>764</v>
      </c>
      <c r="C13" s="753" t="s">
        <v>765</v>
      </c>
      <c r="D13" s="753" t="s">
        <v>766</v>
      </c>
      <c r="E13" s="753" t="s">
        <v>767</v>
      </c>
      <c r="F13" s="753" t="s">
        <v>768</v>
      </c>
      <c r="G13" s="753" t="s">
        <v>769</v>
      </c>
      <c r="H13" s="753" t="s">
        <v>770</v>
      </c>
      <c r="I13" s="753" t="s">
        <v>771</v>
      </c>
      <c r="J13" s="753" t="s">
        <v>772</v>
      </c>
      <c r="K13" s="753" t="s">
        <v>773</v>
      </c>
      <c r="L13" s="753" t="s">
        <v>774</v>
      </c>
      <c r="M13" s="753" t="s">
        <v>775</v>
      </c>
      <c r="N13" s="753" t="s">
        <v>776</v>
      </c>
      <c r="O13" s="753" t="s">
        <v>777</v>
      </c>
      <c r="P13" s="753" t="s">
        <v>778</v>
      </c>
      <c r="Q13" s="1314">
        <f>P13+O13+N13+M13+L13+K13+J13+I13+H13+G13+F13+E13+D13+C13+B13</f>
        <v>456815</v>
      </c>
      <c r="R13" s="753" t="s">
        <v>779</v>
      </c>
      <c r="S13" s="753" t="s">
        <v>780</v>
      </c>
      <c r="T13" s="753" t="s">
        <v>481</v>
      </c>
      <c r="U13" s="753">
        <f>S13+T13</f>
        <v>507753</v>
      </c>
      <c r="V13" s="45" t="s">
        <v>750</v>
      </c>
    </row>
    <row r="14" spans="1:24" ht="10.7" customHeight="1">
      <c r="A14" s="376"/>
      <c r="B14" s="800">
        <f t="shared" ref="B14:S14" si="4">(B13/$S13)*100</f>
        <v>14.84178065810611</v>
      </c>
      <c r="C14" s="800">
        <f t="shared" si="4"/>
        <v>3.763781094106168</v>
      </c>
      <c r="D14" s="800">
        <f t="shared" si="4"/>
        <v>1.126404036598607</v>
      </c>
      <c r="E14" s="800">
        <f t="shared" si="4"/>
        <v>17.181365442127341</v>
      </c>
      <c r="F14" s="800">
        <f t="shared" si="4"/>
        <v>1.1831263744055267</v>
      </c>
      <c r="G14" s="800">
        <f t="shared" si="4"/>
        <v>7.9459952547954709</v>
      </c>
      <c r="H14" s="800">
        <f t="shared" si="4"/>
        <v>13.971262093181256</v>
      </c>
      <c r="I14" s="800">
        <f t="shared" si="4"/>
        <v>0.69611854121999595</v>
      </c>
      <c r="J14" s="800">
        <f t="shared" si="4"/>
        <v>10.351403348734435</v>
      </c>
      <c r="K14" s="800">
        <f t="shared" si="4"/>
        <v>1.6390215820029335</v>
      </c>
      <c r="L14" s="800">
        <f t="shared" si="4"/>
        <v>7.3927408106637991</v>
      </c>
      <c r="M14" s="800">
        <f t="shared" si="4"/>
        <v>2.6970625025133499</v>
      </c>
      <c r="N14" s="800">
        <f t="shared" si="4"/>
        <v>2.4923964552771882</v>
      </c>
      <c r="O14" s="800">
        <f t="shared" si="4"/>
        <v>2.1814818499101545</v>
      </c>
      <c r="P14" s="800">
        <f t="shared" si="4"/>
        <v>9.2211896028801412</v>
      </c>
      <c r="Q14" s="800">
        <f t="shared" si="4"/>
        <v>96.685129646522469</v>
      </c>
      <c r="R14" s="800">
        <f t="shared" si="4"/>
        <v>3.315082003991729</v>
      </c>
      <c r="S14" s="800">
        <f t="shared" si="4"/>
        <v>100</v>
      </c>
      <c r="T14" s="755"/>
      <c r="U14" s="755"/>
      <c r="V14" s="377"/>
    </row>
    <row r="15" spans="1:24" ht="10.7" customHeight="1">
      <c r="A15" s="9" t="s">
        <v>490</v>
      </c>
      <c r="B15" s="1315" t="s">
        <v>116</v>
      </c>
      <c r="C15" s="1315" t="s">
        <v>117</v>
      </c>
      <c r="D15" s="1315" t="s">
        <v>118</v>
      </c>
      <c r="E15" s="1315" t="s">
        <v>119</v>
      </c>
      <c r="F15" s="1315" t="s">
        <v>120</v>
      </c>
      <c r="G15" s="1315" t="s">
        <v>121</v>
      </c>
      <c r="H15" s="1315" t="s">
        <v>122</v>
      </c>
      <c r="I15" s="1315" t="s">
        <v>123</v>
      </c>
      <c r="J15" s="1315" t="s">
        <v>124</v>
      </c>
      <c r="K15" s="1315" t="s">
        <v>125</v>
      </c>
      <c r="L15" s="1315" t="s">
        <v>126</v>
      </c>
      <c r="M15" s="1315" t="s">
        <v>127</v>
      </c>
      <c r="N15" s="1315" t="s">
        <v>128</v>
      </c>
      <c r="O15" s="1315" t="s">
        <v>129</v>
      </c>
      <c r="P15" s="1315" t="s">
        <v>482</v>
      </c>
      <c r="Q15" s="1314">
        <f>P15+O15+N15+M15+L15+K15+J15+I15+H15+G15+F15+E15+D15+C15+B15</f>
        <v>525976</v>
      </c>
      <c r="R15" s="753">
        <f>S15-Q15</f>
        <v>19846</v>
      </c>
      <c r="S15" s="753" t="s">
        <v>130</v>
      </c>
      <c r="T15" s="753">
        <v>48390</v>
      </c>
      <c r="U15" s="753">
        <f>S15+T15</f>
        <v>594212</v>
      </c>
      <c r="V15" s="45" t="s">
        <v>490</v>
      </c>
    </row>
    <row r="16" spans="1:24" ht="10.7" customHeight="1">
      <c r="A16" s="376"/>
      <c r="B16" s="800">
        <f t="shared" ref="B16:S16" si="5">(B15/$S15)*100</f>
        <v>14.693801275873819</v>
      </c>
      <c r="C16" s="800">
        <f t="shared" si="5"/>
        <v>3.6257241371729245</v>
      </c>
      <c r="D16" s="800">
        <f t="shared" si="5"/>
        <v>1.1271073720003957</v>
      </c>
      <c r="E16" s="800">
        <f t="shared" si="5"/>
        <v>17.203593845612673</v>
      </c>
      <c r="F16" s="800">
        <f t="shared" si="5"/>
        <v>1.1120841593046817</v>
      </c>
      <c r="G16" s="800">
        <f t="shared" si="5"/>
        <v>8.0344874336322096</v>
      </c>
      <c r="H16" s="800">
        <f t="shared" si="5"/>
        <v>14.330679232423757</v>
      </c>
      <c r="I16" s="800">
        <f t="shared" si="5"/>
        <v>0.7125033435808743</v>
      </c>
      <c r="J16" s="800">
        <f t="shared" si="5"/>
        <v>10.425926400914584</v>
      </c>
      <c r="K16" s="800">
        <f t="shared" si="5"/>
        <v>1.6406447523185215</v>
      </c>
      <c r="L16" s="800">
        <f t="shared" si="5"/>
        <v>6.9726027899205238</v>
      </c>
      <c r="M16" s="800">
        <f t="shared" si="5"/>
        <v>2.6431693848910451</v>
      </c>
      <c r="N16" s="800">
        <f t="shared" si="5"/>
        <v>2.4791965146146544</v>
      </c>
      <c r="O16" s="800">
        <f t="shared" si="5"/>
        <v>2.165357937202971</v>
      </c>
      <c r="P16" s="800">
        <f t="shared" si="5"/>
        <v>9.1971375283517336</v>
      </c>
      <c r="Q16" s="800">
        <f t="shared" si="5"/>
        <v>96.36401610781536</v>
      </c>
      <c r="R16" s="800">
        <f t="shared" si="5"/>
        <v>3.6359838921846315</v>
      </c>
      <c r="S16" s="800">
        <f t="shared" si="5"/>
        <v>100</v>
      </c>
      <c r="T16" s="755"/>
      <c r="U16" s="755"/>
      <c r="V16" s="377"/>
    </row>
    <row r="17" spans="1:22" ht="10.7" customHeight="1">
      <c r="A17" s="9" t="s">
        <v>87</v>
      </c>
      <c r="B17" s="753">
        <v>89426</v>
      </c>
      <c r="C17" s="753">
        <v>21807</v>
      </c>
      <c r="D17" s="753">
        <v>7091</v>
      </c>
      <c r="E17" s="753">
        <v>106445</v>
      </c>
      <c r="F17" s="753">
        <v>6542</v>
      </c>
      <c r="G17" s="753">
        <v>50125</v>
      </c>
      <c r="H17" s="753">
        <v>88277</v>
      </c>
      <c r="I17" s="753">
        <v>4460</v>
      </c>
      <c r="J17" s="753">
        <v>64280</v>
      </c>
      <c r="K17" s="753">
        <v>10245</v>
      </c>
      <c r="L17" s="753">
        <v>41616</v>
      </c>
      <c r="M17" s="753">
        <v>16361</v>
      </c>
      <c r="N17" s="753">
        <v>15494</v>
      </c>
      <c r="O17" s="753">
        <v>13391</v>
      </c>
      <c r="P17" s="753">
        <v>58364</v>
      </c>
      <c r="Q17" s="1314">
        <f>SUM(B17:P17)</f>
        <v>593924</v>
      </c>
      <c r="R17" s="753">
        <v>20871</v>
      </c>
      <c r="S17" s="753">
        <f>Q17+R17</f>
        <v>614795</v>
      </c>
      <c r="T17" s="753">
        <v>55901</v>
      </c>
      <c r="U17" s="753">
        <f>S17+T17</f>
        <v>670696</v>
      </c>
      <c r="V17" s="45" t="s">
        <v>87</v>
      </c>
    </row>
    <row r="18" spans="1:22" ht="10.7" customHeight="1">
      <c r="A18" s="376"/>
      <c r="B18" s="800">
        <f>(B17/S17)*100</f>
        <v>14.545661561984078</v>
      </c>
      <c r="C18" s="800">
        <f>(C17/S17)*100</f>
        <v>3.547036003871209</v>
      </c>
      <c r="D18" s="800">
        <f>(D17/S17)*100</f>
        <v>1.1533925942793939</v>
      </c>
      <c r="E18" s="800">
        <f>(E17/S17)*100</f>
        <v>17.313901381761401</v>
      </c>
      <c r="F18" s="800">
        <f>(F17/S17)*100</f>
        <v>1.0640945355768996</v>
      </c>
      <c r="G18" s="800">
        <f>(G17/S17)*100</f>
        <v>8.1531242121357526</v>
      </c>
      <c r="H18" s="800">
        <f>(H17/S17)*100</f>
        <v>14.358769996502899</v>
      </c>
      <c r="I18" s="800">
        <f>(I17/S17)*100</f>
        <v>0.72544506705487199</v>
      </c>
      <c r="J18" s="800">
        <f>(J17/S17)*100</f>
        <v>10.455517692889501</v>
      </c>
      <c r="K18" s="800">
        <f>(K17/S17)*100</f>
        <v>1.6664091282460005</v>
      </c>
      <c r="L18" s="800">
        <f>(L17/S17)*100</f>
        <v>6.7690856301694069</v>
      </c>
      <c r="M18" s="800">
        <f>(M17/S17)*100</f>
        <v>2.6612122740100359</v>
      </c>
      <c r="N18" s="800">
        <f>(N17/S17)*100</f>
        <v>2.5201896567148401</v>
      </c>
      <c r="O18" s="800">
        <f>(O17/S17)*100</f>
        <v>2.1781244154555583</v>
      </c>
      <c r="P18" s="800">
        <f>(P17/S17)*100</f>
        <v>9.4932457160516925</v>
      </c>
      <c r="Q18" s="800">
        <f>(Q17/S17)*100</f>
        <v>96.605209866703532</v>
      </c>
      <c r="R18" s="800">
        <f>(R17/S17)*100</f>
        <v>3.3947901332964645</v>
      </c>
      <c r="S18" s="800">
        <f>(S17/S17)*100</f>
        <v>100</v>
      </c>
      <c r="T18" s="755"/>
      <c r="U18" s="755"/>
      <c r="V18" s="377"/>
    </row>
    <row r="19" spans="1:22" ht="10.7" customHeight="1">
      <c r="A19" s="8" t="s">
        <v>83</v>
      </c>
      <c r="B19" s="1316" t="s">
        <v>882</v>
      </c>
      <c r="C19" s="1316" t="s">
        <v>883</v>
      </c>
      <c r="D19" s="1316" t="s">
        <v>884</v>
      </c>
      <c r="E19" s="1316" t="s">
        <v>885</v>
      </c>
      <c r="F19" s="1316" t="s">
        <v>886</v>
      </c>
      <c r="G19" s="1316" t="s">
        <v>887</v>
      </c>
      <c r="H19" s="1316" t="s">
        <v>888</v>
      </c>
      <c r="I19" s="1316" t="s">
        <v>889</v>
      </c>
      <c r="J19" s="1316" t="s">
        <v>890</v>
      </c>
      <c r="K19" s="1316" t="s">
        <v>891</v>
      </c>
      <c r="L19" s="1317">
        <v>45683</v>
      </c>
      <c r="M19" s="1317">
        <v>18757</v>
      </c>
      <c r="N19" s="1317">
        <v>17908</v>
      </c>
      <c r="O19" s="1317">
        <v>15142</v>
      </c>
      <c r="P19" s="1317">
        <v>68465</v>
      </c>
      <c r="Q19" s="1314">
        <f>P19+O19+N19+M19+L19+K19+J19+I19+H19+G19+F19+E19+D19+C19+B19</f>
        <v>671466</v>
      </c>
      <c r="R19" s="1317">
        <v>22858</v>
      </c>
      <c r="S19" s="753">
        <f>Q19+R19</f>
        <v>694324</v>
      </c>
      <c r="T19" s="1316" t="s">
        <v>944</v>
      </c>
      <c r="U19" s="753">
        <f>S19+T19</f>
        <v>758928</v>
      </c>
      <c r="V19" s="139" t="s">
        <v>83</v>
      </c>
    </row>
    <row r="20" spans="1:22" ht="10.7" customHeight="1">
      <c r="A20" s="376"/>
      <c r="B20" s="800">
        <f>(B19/S19)*100</f>
        <v>14.487184657306965</v>
      </c>
      <c r="C20" s="800">
        <f>(C19/S19)*100</f>
        <v>3.4887170830908913</v>
      </c>
      <c r="D20" s="800">
        <f>(D19/S19)*100</f>
        <v>1.1686186852247653</v>
      </c>
      <c r="E20" s="800">
        <f>(E19/S19)*100</f>
        <v>17.298552260904131</v>
      </c>
      <c r="F20" s="800">
        <f>(F19/S19)*100</f>
        <v>1.0362597288873783</v>
      </c>
      <c r="G20" s="800">
        <f>(G19/S19)*100</f>
        <v>8.016142319723933</v>
      </c>
      <c r="H20" s="800">
        <f>(H19/S19)*100</f>
        <v>14.444985338257069</v>
      </c>
      <c r="I20" s="800">
        <f>(I19/S19)*100</f>
        <v>0.74172864541626093</v>
      </c>
      <c r="J20" s="800">
        <f>(J19/S19)*100</f>
        <v>10.352515540295308</v>
      </c>
      <c r="K20" s="800">
        <f>(K19/S19)*100</f>
        <v>1.7715072502174776</v>
      </c>
      <c r="L20" s="800">
        <f>(L19/S19)*100</f>
        <v>6.5794931472914664</v>
      </c>
      <c r="M20" s="800">
        <f>(M19/S19)*100</f>
        <v>2.7014765440918072</v>
      </c>
      <c r="N20" s="800">
        <f>(N19/S19)*100</f>
        <v>2.5791993363328936</v>
      </c>
      <c r="O20" s="800">
        <f>(O19/S19)*100</f>
        <v>2.1808262425034997</v>
      </c>
      <c r="P20" s="800">
        <f>(P19/S19)*100</f>
        <v>9.8606702346454966</v>
      </c>
      <c r="Q20" s="800">
        <f>(Q19/S19)*100</f>
        <v>96.707877014189336</v>
      </c>
      <c r="R20" s="800">
        <f>(R19/S19)*100</f>
        <v>3.2921229858106589</v>
      </c>
      <c r="S20" s="800">
        <f>(S19/S19)*100</f>
        <v>100</v>
      </c>
      <c r="T20" s="752"/>
      <c r="U20" s="752"/>
      <c r="V20" s="376"/>
    </row>
    <row r="21" spans="1:22" ht="10.7" customHeight="1">
      <c r="A21" s="9" t="s">
        <v>225</v>
      </c>
      <c r="B21" s="753">
        <v>113582</v>
      </c>
      <c r="C21" s="753">
        <v>26996</v>
      </c>
      <c r="D21" s="753">
        <v>9063</v>
      </c>
      <c r="E21" s="753">
        <v>135550</v>
      </c>
      <c r="F21" s="753">
        <v>8211</v>
      </c>
      <c r="G21" s="753">
        <v>63982</v>
      </c>
      <c r="H21" s="753">
        <v>115959</v>
      </c>
      <c r="I21" s="753">
        <v>5997</v>
      </c>
      <c r="J21" s="753">
        <v>85465</v>
      </c>
      <c r="K21" s="753">
        <v>14484</v>
      </c>
      <c r="L21" s="753">
        <v>50337</v>
      </c>
      <c r="M21" s="753">
        <v>22381</v>
      </c>
      <c r="N21" s="753">
        <v>21308</v>
      </c>
      <c r="O21" s="753">
        <v>17582</v>
      </c>
      <c r="P21" s="753">
        <v>77876</v>
      </c>
      <c r="Q21" s="1314">
        <f>SUM(B21:P21)</f>
        <v>768773</v>
      </c>
      <c r="R21" s="753">
        <v>27931</v>
      </c>
      <c r="S21" s="753">
        <f>Q21+R21</f>
        <v>796704</v>
      </c>
      <c r="T21" s="751" t="s">
        <v>1103</v>
      </c>
      <c r="U21" s="753">
        <f>S21+T21</f>
        <v>869218</v>
      </c>
      <c r="V21" s="45" t="s">
        <v>225</v>
      </c>
    </row>
    <row r="22" spans="1:22" ht="10.7" customHeight="1">
      <c r="A22" s="376"/>
      <c r="B22" s="800">
        <f>(B21/S21)*100</f>
        <v>14.256486725308271</v>
      </c>
      <c r="C22" s="800">
        <f>(C21/S21)*100</f>
        <v>3.3884604570831827</v>
      </c>
      <c r="D22" s="800">
        <f>(D21/S21)*100</f>
        <v>1.1375617544282444</v>
      </c>
      <c r="E22" s="800">
        <f>(E21/S21)*100</f>
        <v>17.013847049845364</v>
      </c>
      <c r="F22" s="800">
        <f>(F21/S21)*100</f>
        <v>1.0306211591758043</v>
      </c>
      <c r="G22" s="800">
        <f>(G21/S21)*100</f>
        <v>8.0308370486403984</v>
      </c>
      <c r="H22" s="800">
        <f>(H21/S21)*100</f>
        <v>14.554840944692133</v>
      </c>
      <c r="I22" s="800">
        <f>(I21/S21)*100</f>
        <v>0.75272623207615375</v>
      </c>
      <c r="J22" s="800">
        <f>(J21/S21)*100</f>
        <v>10.72732156484717</v>
      </c>
      <c r="K22" s="800">
        <f>(K21/S21)*100</f>
        <v>1.8179901192914807</v>
      </c>
      <c r="L22" s="800">
        <f>(L21/S21)*100</f>
        <v>6.3181558019038437</v>
      </c>
      <c r="M22" s="800">
        <f>(M21/S21)*100</f>
        <v>2.809198899465799</v>
      </c>
      <c r="N22" s="800">
        <f>(N21/S21)*100</f>
        <v>2.6745190183556251</v>
      </c>
      <c r="O22" s="800">
        <f>(O21/S21)*100</f>
        <v>2.2068421898220669</v>
      </c>
      <c r="P22" s="800">
        <f>(P21/S21)*100</f>
        <v>9.7747720608908697</v>
      </c>
      <c r="Q22" s="800">
        <f>(Q21/S21)*100</f>
        <v>96.494181025826407</v>
      </c>
      <c r="R22" s="800">
        <f>(R21/S21)*100</f>
        <v>3.5058189741735952</v>
      </c>
      <c r="S22" s="800">
        <f>(S21/S21)*100</f>
        <v>100</v>
      </c>
      <c r="T22" s="752"/>
      <c r="U22" s="755"/>
      <c r="V22" s="376"/>
    </row>
    <row r="23" spans="1:22" s="536" customFormat="1" ht="10.7" customHeight="1">
      <c r="A23" s="211" t="s">
        <v>972</v>
      </c>
      <c r="B23" s="477">
        <v>125751</v>
      </c>
      <c r="C23" s="477">
        <v>31003</v>
      </c>
      <c r="D23" s="477">
        <v>10446</v>
      </c>
      <c r="E23" s="477">
        <v>155750</v>
      </c>
      <c r="F23" s="477">
        <v>9595</v>
      </c>
      <c r="G23" s="477">
        <v>76635</v>
      </c>
      <c r="H23" s="477">
        <v>130684</v>
      </c>
      <c r="I23" s="477">
        <v>7137</v>
      </c>
      <c r="J23" s="477">
        <v>101810</v>
      </c>
      <c r="K23" s="477">
        <v>17576</v>
      </c>
      <c r="L23" s="477">
        <v>58949</v>
      </c>
      <c r="M23" s="477">
        <v>25320</v>
      </c>
      <c r="N23" s="477">
        <v>24058</v>
      </c>
      <c r="O23" s="477">
        <v>20574</v>
      </c>
      <c r="P23" s="477">
        <v>91485</v>
      </c>
      <c r="Q23" s="749">
        <f>SUM(B23:P23)</f>
        <v>886773</v>
      </c>
      <c r="R23" s="477">
        <v>31368</v>
      </c>
      <c r="S23" s="748">
        <f>Q23+R23</f>
        <v>918141</v>
      </c>
      <c r="T23" s="477">
        <v>89302</v>
      </c>
      <c r="U23" s="748">
        <f>S23+T23</f>
        <v>1007443</v>
      </c>
      <c r="V23" s="270" t="s">
        <v>972</v>
      </c>
    </row>
    <row r="24" spans="1:22" s="89" customFormat="1" ht="10.7" customHeight="1">
      <c r="A24" s="376"/>
      <c r="B24" s="800">
        <f>(B23/S23)*100</f>
        <v>13.696262338791101</v>
      </c>
      <c r="C24" s="800">
        <f>(C23/S23)*100</f>
        <v>3.3767144697818745</v>
      </c>
      <c r="D24" s="800">
        <f>(D23/S23)*100</f>
        <v>1.1377337467774558</v>
      </c>
      <c r="E24" s="800">
        <f>(E23/S23)*100</f>
        <v>16.963625412654483</v>
      </c>
      <c r="F24" s="800">
        <f>(F23/S23)*100</f>
        <v>1.0450464580059053</v>
      </c>
      <c r="G24" s="800">
        <f>(G23/S23)*100</f>
        <v>8.3467571974239245</v>
      </c>
      <c r="H24" s="800">
        <f>(H23/S23)*100</f>
        <v>14.233543649613731</v>
      </c>
      <c r="I24" s="800">
        <f>(I23/S23)*100</f>
        <v>0.77733158632497623</v>
      </c>
      <c r="J24" s="800">
        <f>(J23/S23)*100</f>
        <v>11.088710775360211</v>
      </c>
      <c r="K24" s="800">
        <f>(K23/S23)*100</f>
        <v>1.9143029229715263</v>
      </c>
      <c r="L24" s="800">
        <f>(L23/S23)*100</f>
        <v>6.4204735438238796</v>
      </c>
      <c r="M24" s="800">
        <f>(M23/S23)*100</f>
        <v>2.7577463592193356</v>
      </c>
      <c r="N24" s="800">
        <f>(N23/S23)*100</f>
        <v>2.6202947041903148</v>
      </c>
      <c r="O24" s="800">
        <f>(O23/S23)*100</f>
        <v>2.2408322904651898</v>
      </c>
      <c r="P24" s="800">
        <f>(P23/S23)*100</f>
        <v>9.9641558322741286</v>
      </c>
      <c r="Q24" s="800">
        <f>(Q23/S23)*100</f>
        <v>96.583531287678042</v>
      </c>
      <c r="R24" s="800">
        <f>(R23/S23)*100</f>
        <v>3.4164687123219637</v>
      </c>
      <c r="S24" s="800">
        <f>(S23/S23)*100</f>
        <v>100</v>
      </c>
      <c r="T24" s="752"/>
      <c r="U24" s="752"/>
      <c r="V24" s="376"/>
    </row>
    <row r="25" spans="1:22" s="89" customFormat="1" ht="10.7" customHeight="1">
      <c r="A25" s="211" t="s">
        <v>1523</v>
      </c>
      <c r="B25" s="748">
        <v>70171</v>
      </c>
      <c r="C25" s="748">
        <v>16814</v>
      </c>
      <c r="D25" s="748">
        <v>7009</v>
      </c>
      <c r="E25" s="748">
        <v>73834</v>
      </c>
      <c r="F25" s="748">
        <v>5553</v>
      </c>
      <c r="G25" s="748">
        <v>29825</v>
      </c>
      <c r="H25" s="748">
        <v>62352</v>
      </c>
      <c r="I25" s="748">
        <v>3467</v>
      </c>
      <c r="J25" s="748">
        <v>46497</v>
      </c>
      <c r="K25" s="748">
        <v>14216</v>
      </c>
      <c r="L25" s="748">
        <v>37935</v>
      </c>
      <c r="M25" s="748">
        <v>14089</v>
      </c>
      <c r="N25" s="748">
        <v>9962</v>
      </c>
      <c r="O25" s="748">
        <v>9288</v>
      </c>
      <c r="P25" s="748">
        <v>56600</v>
      </c>
      <c r="Q25" s="749">
        <f>SUM(B25:P25)</f>
        <v>457612</v>
      </c>
      <c r="R25" s="748">
        <v>24725</v>
      </c>
      <c r="S25" s="748">
        <f>Q25+R25</f>
        <v>482337</v>
      </c>
      <c r="T25" s="748">
        <v>27208</v>
      </c>
      <c r="U25" s="748">
        <f>S25+T25</f>
        <v>509545</v>
      </c>
      <c r="V25" s="270" t="s">
        <v>1523</v>
      </c>
    </row>
    <row r="26" spans="1:22" s="89" customFormat="1" ht="10.7" customHeight="1">
      <c r="A26" s="376"/>
      <c r="B26" s="800">
        <f>(B25/S25)*100</f>
        <v>14.548127139323752</v>
      </c>
      <c r="C26" s="800">
        <f>(C25/S25)*100</f>
        <v>3.4859444745064136</v>
      </c>
      <c r="D26" s="800">
        <f>(D25/S25)*100</f>
        <v>1.4531333901400889</v>
      </c>
      <c r="E26" s="800">
        <f>(E25/S25)*100</f>
        <v>15.307554676502114</v>
      </c>
      <c r="F26" s="800">
        <f>(F25/S25)*100</f>
        <v>1.151269755378501</v>
      </c>
      <c r="G26" s="800">
        <f>(G25/S25)*100</f>
        <v>6.1834360623381581</v>
      </c>
      <c r="H26" s="800">
        <f>(H25/S25)*100</f>
        <v>12.927061369955032</v>
      </c>
      <c r="I26" s="800">
        <f>(I25/S25)*100</f>
        <v>0.71879204788353368</v>
      </c>
      <c r="J26" s="800">
        <f>(J25/S25)*100</f>
        <v>9.6399405394983173</v>
      </c>
      <c r="K26" s="800">
        <f>(K25/S25)*100</f>
        <v>2.9473169174249541</v>
      </c>
      <c r="L26" s="800">
        <f>(L25/S25)*100</f>
        <v>7.8648330938741999</v>
      </c>
      <c r="M26" s="800">
        <f>(M25/S25)*100</f>
        <v>2.9209867789533042</v>
      </c>
      <c r="N26" s="800">
        <f>(N25/S25)*100</f>
        <v>2.0653609405871829</v>
      </c>
      <c r="O26" s="800">
        <f>(O25/S25)*100</f>
        <v>1.9256246151549643</v>
      </c>
      <c r="P26" s="800">
        <f>(P25/S25)*100</f>
        <v>11.734534153506781</v>
      </c>
      <c r="Q26" s="800">
        <f>(Q25/S25)*100</f>
        <v>94.8739159550273</v>
      </c>
      <c r="R26" s="800">
        <f>(R25/S25)*100</f>
        <v>5.1260840449727052</v>
      </c>
      <c r="S26" s="800">
        <f>(S25/S25)*100</f>
        <v>100</v>
      </c>
      <c r="T26" s="752"/>
      <c r="U26" s="752"/>
      <c r="V26" s="377"/>
    </row>
    <row r="27" spans="1:22" s="89" customFormat="1" ht="10.7" customHeight="1">
      <c r="A27" s="211" t="s">
        <v>750</v>
      </c>
      <c r="B27" s="748">
        <v>79010</v>
      </c>
      <c r="C27" s="748">
        <v>18890</v>
      </c>
      <c r="D27" s="748">
        <v>7866</v>
      </c>
      <c r="E27" s="748">
        <v>87606</v>
      </c>
      <c r="F27" s="748">
        <v>5720</v>
      </c>
      <c r="G27" s="748">
        <v>33513</v>
      </c>
      <c r="H27" s="748">
        <v>72971</v>
      </c>
      <c r="I27" s="748">
        <v>4069</v>
      </c>
      <c r="J27" s="748">
        <v>53132</v>
      </c>
      <c r="K27" s="748">
        <v>16265</v>
      </c>
      <c r="L27" s="748">
        <v>41337</v>
      </c>
      <c r="M27" s="748">
        <v>17132</v>
      </c>
      <c r="N27" s="748">
        <v>11853</v>
      </c>
      <c r="O27" s="748">
        <v>10453</v>
      </c>
      <c r="P27" s="748">
        <v>63544</v>
      </c>
      <c r="Q27" s="749">
        <f>SUM(B27:P27)</f>
        <v>523361</v>
      </c>
      <c r="R27" s="748">
        <v>26439</v>
      </c>
      <c r="S27" s="748">
        <f>Q27+R27</f>
        <v>549800</v>
      </c>
      <c r="T27" s="748">
        <v>35276</v>
      </c>
      <c r="U27" s="748">
        <f>S27+T27</f>
        <v>585076</v>
      </c>
      <c r="V27" s="270" t="s">
        <v>750</v>
      </c>
    </row>
    <row r="28" spans="1:22" s="89" customFormat="1" ht="10.7" customHeight="1">
      <c r="A28" s="376"/>
      <c r="B28" s="800">
        <f>(B27/S27)*100</f>
        <v>14.370680247362678</v>
      </c>
      <c r="C28" s="800">
        <f>(C27/S27)*100</f>
        <v>3.4357948344852671</v>
      </c>
      <c r="D28" s="800">
        <f>(D27/S27)*100</f>
        <v>1.4307020734812659</v>
      </c>
      <c r="E28" s="800">
        <f>(E27/S27)*100</f>
        <v>15.934157875591124</v>
      </c>
      <c r="F28" s="800">
        <f>(F27/S27)*100</f>
        <v>1.0403783193888687</v>
      </c>
      <c r="G28" s="800">
        <f>(G27/S27)*100</f>
        <v>6.0954892688250268</v>
      </c>
      <c r="H28" s="800">
        <f>(H27/S27)*100</f>
        <v>13.272280829392507</v>
      </c>
      <c r="I28" s="800">
        <f>(I27/S27)*100</f>
        <v>0.74008730447435422</v>
      </c>
      <c r="J28" s="800">
        <f>(J27/S27)*100</f>
        <v>9.663877773735905</v>
      </c>
      <c r="K28" s="800">
        <f>(K27/S27)*100</f>
        <v>2.9583484903601307</v>
      </c>
      <c r="L28" s="800">
        <f>(L27/S27)*100</f>
        <v>7.5185522008002907</v>
      </c>
      <c r="M28" s="800">
        <f>(M27/S27)*100</f>
        <v>3.1160421971626042</v>
      </c>
      <c r="N28" s="800">
        <f>(N27/S27)*100</f>
        <v>2.1558748635867588</v>
      </c>
      <c r="O28" s="800">
        <f>(O27/S27)*100</f>
        <v>1.9012368133866859</v>
      </c>
      <c r="P28" s="800">
        <f>(P27/S27)*100</f>
        <v>11.557657329938159</v>
      </c>
      <c r="Q28" s="800">
        <f>(Q27/S27)*100</f>
        <v>95.191160421971617</v>
      </c>
      <c r="R28" s="800">
        <f>(R27/S27)*100</f>
        <v>4.8088395780283744</v>
      </c>
      <c r="S28" s="800">
        <f>(S27/S27)*100</f>
        <v>100</v>
      </c>
      <c r="T28" s="752"/>
      <c r="U28" s="752"/>
      <c r="V28" s="377"/>
    </row>
    <row r="29" spans="1:22" s="89" customFormat="1" ht="10.7" customHeight="1">
      <c r="A29" s="211" t="s">
        <v>490</v>
      </c>
      <c r="B29" s="748">
        <v>89986</v>
      </c>
      <c r="C29" s="748">
        <v>20635</v>
      </c>
      <c r="D29" s="748">
        <v>9110</v>
      </c>
      <c r="E29" s="748">
        <v>101371</v>
      </c>
      <c r="F29" s="748">
        <v>6441</v>
      </c>
      <c r="G29" s="748">
        <v>38532</v>
      </c>
      <c r="H29" s="748">
        <v>86149</v>
      </c>
      <c r="I29" s="748">
        <v>4826</v>
      </c>
      <c r="J29" s="748">
        <v>59620</v>
      </c>
      <c r="K29" s="748">
        <v>18702</v>
      </c>
      <c r="L29" s="748">
        <v>45118</v>
      </c>
      <c r="M29" s="748">
        <v>19664</v>
      </c>
      <c r="N29" s="748">
        <v>14332</v>
      </c>
      <c r="O29" s="748">
        <v>12164</v>
      </c>
      <c r="P29" s="748">
        <v>72200</v>
      </c>
      <c r="Q29" s="749">
        <f>SUM(B29:P29)</f>
        <v>598850</v>
      </c>
      <c r="R29" s="748">
        <v>29832</v>
      </c>
      <c r="S29" s="748">
        <f>Q29+R29</f>
        <v>628682</v>
      </c>
      <c r="T29" s="748">
        <v>48390</v>
      </c>
      <c r="U29" s="748">
        <f>S29+T29</f>
        <v>677072</v>
      </c>
      <c r="V29" s="270" t="s">
        <v>490</v>
      </c>
    </row>
    <row r="30" spans="1:22" s="89" customFormat="1" ht="10.7" customHeight="1">
      <c r="A30" s="376"/>
      <c r="B30" s="800">
        <f>(B29/S29)*100</f>
        <v>14.313436681820061</v>
      </c>
      <c r="C30" s="800">
        <f>(C29/S29)*100</f>
        <v>3.2822635290973818</v>
      </c>
      <c r="D30" s="800">
        <f>(D29/S29)*100</f>
        <v>1.4490632784142061</v>
      </c>
      <c r="E30" s="800">
        <f>(E29/S29)*100</f>
        <v>16.124368122516628</v>
      </c>
      <c r="F30" s="800">
        <f>(F29/S29)*100</f>
        <v>1.0245243223123932</v>
      </c>
      <c r="G30" s="800">
        <f>(G29/S29)*100</f>
        <v>6.1290127600281217</v>
      </c>
      <c r="H30" s="800">
        <f>(H29/S29)*100</f>
        <v>13.703112225258558</v>
      </c>
      <c r="I30" s="800">
        <f>(I29/S29)*100</f>
        <v>0.76763769282403505</v>
      </c>
      <c r="J30" s="800">
        <f>(J29/S29)*100</f>
        <v>9.4833317957250252</v>
      </c>
      <c r="K30" s="800">
        <f>(K29/S29)*100</f>
        <v>2.9747948883537307</v>
      </c>
      <c r="L30" s="800">
        <f>(L29/S29)*100</f>
        <v>7.1766012069695018</v>
      </c>
      <c r="M30" s="800">
        <f>(M29/S29)*100</f>
        <v>3.1278134255474148</v>
      </c>
      <c r="N30" s="800">
        <f>(N29/S29)*100</f>
        <v>2.2796898909146437</v>
      </c>
      <c r="O30" s="800">
        <f>(O29/S29)*100</f>
        <v>1.9348414619791883</v>
      </c>
      <c r="P30" s="800">
        <f>(P29/S29)*100</f>
        <v>11.484343435950132</v>
      </c>
      <c r="Q30" s="800">
        <f>(Q29/S29)*100</f>
        <v>95.25483471771102</v>
      </c>
      <c r="R30" s="800">
        <f>(R29/S29)*100</f>
        <v>4.7451652822889798</v>
      </c>
      <c r="S30" s="800">
        <f>(S29/S29)*100</f>
        <v>100</v>
      </c>
      <c r="T30" s="752"/>
      <c r="U30" s="752"/>
      <c r="V30" s="377"/>
    </row>
    <row r="31" spans="1:22" s="89" customFormat="1" ht="10.7" customHeight="1">
      <c r="A31" s="211" t="s">
        <v>87</v>
      </c>
      <c r="B31" s="748">
        <v>97807</v>
      </c>
      <c r="C31" s="748">
        <v>22793</v>
      </c>
      <c r="D31" s="748">
        <v>10963</v>
      </c>
      <c r="E31" s="748">
        <v>116197</v>
      </c>
      <c r="F31" s="748">
        <v>7012</v>
      </c>
      <c r="G31" s="748">
        <v>44180</v>
      </c>
      <c r="H31" s="748">
        <v>96094</v>
      </c>
      <c r="I31" s="748">
        <v>5790</v>
      </c>
      <c r="J31" s="748">
        <v>67185</v>
      </c>
      <c r="K31" s="748">
        <v>20003</v>
      </c>
      <c r="L31" s="748">
        <v>49448</v>
      </c>
      <c r="M31" s="748">
        <v>22464</v>
      </c>
      <c r="N31" s="748">
        <v>16250</v>
      </c>
      <c r="O31" s="748">
        <v>13368</v>
      </c>
      <c r="P31" s="748">
        <v>85366</v>
      </c>
      <c r="Q31" s="749">
        <f>SUM(B31:P31)</f>
        <v>674920</v>
      </c>
      <c r="R31" s="748">
        <v>30152</v>
      </c>
      <c r="S31" s="748">
        <f>Q31+R31</f>
        <v>705072</v>
      </c>
      <c r="T31" s="748">
        <v>55901</v>
      </c>
      <c r="U31" s="748">
        <f>S31+T31</f>
        <v>760973</v>
      </c>
      <c r="V31" s="270" t="s">
        <v>87</v>
      </c>
    </row>
    <row r="32" spans="1:22" s="89" customFormat="1" ht="10.7" customHeight="1">
      <c r="A32" s="376"/>
      <c r="B32" s="800">
        <f>(B31/S31)*100</f>
        <v>13.871916626954411</v>
      </c>
      <c r="C32" s="800">
        <f>(C31/S31)*100</f>
        <v>3.2327194953139538</v>
      </c>
      <c r="D32" s="800">
        <f>(D31/S31)*100</f>
        <v>1.5548766650781765</v>
      </c>
      <c r="E32" s="800">
        <f>(E31/S31)*100</f>
        <v>16.480160891369959</v>
      </c>
      <c r="F32" s="800">
        <f>(F31/S31)*100</f>
        <v>0.99450836226654871</v>
      </c>
      <c r="G32" s="800">
        <f>(G31/S31)*100</f>
        <v>6.266026732021694</v>
      </c>
      <c r="H32" s="800">
        <f>(H31/S31)*100</f>
        <v>13.628962715864478</v>
      </c>
      <c r="I32" s="800">
        <f>(I31/S31)*100</f>
        <v>0.82119272925318265</v>
      </c>
      <c r="J32" s="800">
        <f>(J31/S31)*100</f>
        <v>9.5288140785621902</v>
      </c>
      <c r="K32" s="800">
        <f>(K31/S31)*100</f>
        <v>2.8370152268137154</v>
      </c>
      <c r="L32" s="800">
        <f>(L31/S31)*100</f>
        <v>7.0131844691038641</v>
      </c>
      <c r="M32" s="800">
        <f>(M31/S31)*100</f>
        <v>3.1860575941180476</v>
      </c>
      <c r="N32" s="800">
        <f>(N31/S31)*100</f>
        <v>2.3047291624117823</v>
      </c>
      <c r="O32" s="800">
        <f>(O31/S31)*100</f>
        <v>1.8959765811151201</v>
      </c>
      <c r="P32" s="800">
        <f>(P31/S31)*100</f>
        <v>12.10741598021195</v>
      </c>
      <c r="Q32" s="800">
        <f>(Q31/S31)*100</f>
        <v>95.723557310459071</v>
      </c>
      <c r="R32" s="800">
        <f>(R31/S31)*100</f>
        <v>4.276442689540926</v>
      </c>
      <c r="S32" s="800">
        <f>(S31/S31)*100</f>
        <v>100</v>
      </c>
      <c r="T32" s="752"/>
      <c r="U32" s="752"/>
      <c r="V32" s="376"/>
    </row>
    <row r="33" spans="1:22" s="536" customFormat="1" ht="10.7" customHeight="1">
      <c r="A33" s="322" t="s">
        <v>83</v>
      </c>
      <c r="B33" s="477">
        <v>110990</v>
      </c>
      <c r="C33" s="477">
        <v>24601</v>
      </c>
      <c r="D33" s="477">
        <v>12645</v>
      </c>
      <c r="E33" s="477">
        <v>128573</v>
      </c>
      <c r="F33" s="477">
        <v>8346</v>
      </c>
      <c r="G33" s="477">
        <v>49474</v>
      </c>
      <c r="H33" s="477">
        <v>106606</v>
      </c>
      <c r="I33" s="477">
        <v>7028</v>
      </c>
      <c r="J33" s="477">
        <v>80454</v>
      </c>
      <c r="K33" s="477">
        <v>23448</v>
      </c>
      <c r="L33" s="477">
        <v>54432</v>
      </c>
      <c r="M33" s="477">
        <v>25426</v>
      </c>
      <c r="N33" s="477">
        <v>18257</v>
      </c>
      <c r="O33" s="477">
        <v>15326</v>
      </c>
      <c r="P33" s="477">
        <v>95692</v>
      </c>
      <c r="Q33" s="749">
        <f>SUM(B33:P33)</f>
        <v>761298</v>
      </c>
      <c r="R33" s="477">
        <v>36241</v>
      </c>
      <c r="S33" s="748">
        <f>Q33+R33</f>
        <v>797539</v>
      </c>
      <c r="T33" s="477">
        <v>64604</v>
      </c>
      <c r="U33" s="748">
        <f>S33+T33</f>
        <v>862143</v>
      </c>
      <c r="V33" s="474" t="s">
        <v>83</v>
      </c>
    </row>
    <row r="34" spans="1:22" ht="10.7" customHeight="1">
      <c r="A34" s="376"/>
      <c r="B34" s="800">
        <f>(B33/S33)*100</f>
        <v>13.916560820223211</v>
      </c>
      <c r="C34" s="800">
        <f>(C33/S33)*100</f>
        <v>3.0846140439527097</v>
      </c>
      <c r="D34" s="800">
        <f>(D33/S33)*100</f>
        <v>1.5855024017634247</v>
      </c>
      <c r="E34" s="800">
        <f>(E33/S33)*100</f>
        <v>16.121217896554274</v>
      </c>
      <c r="F34" s="800">
        <f>(F33/S33)*100</f>
        <v>1.0464692008792047</v>
      </c>
      <c r="G34" s="800">
        <f>(G33/S33)*100</f>
        <v>6.2033330031509433</v>
      </c>
      <c r="H34" s="800">
        <f>(H33/S33)*100</f>
        <v>13.366869833324765</v>
      </c>
      <c r="I34" s="800">
        <f>(I33/S33)*100</f>
        <v>0.8812108247997904</v>
      </c>
      <c r="J34" s="800">
        <f>(J33/S33)*100</f>
        <v>10.08778254104188</v>
      </c>
      <c r="K34" s="800">
        <f>(K33/S33)*100</f>
        <v>2.9400443113126755</v>
      </c>
      <c r="L34" s="800">
        <f>(L33/S33)*100</f>
        <v>6.8249953920748698</v>
      </c>
      <c r="M34" s="800">
        <f>(M33/S33)*100</f>
        <v>3.1880572611496114</v>
      </c>
      <c r="N34" s="800">
        <f>(N33/S33)*100</f>
        <v>2.289167050137987</v>
      </c>
      <c r="O34" s="800">
        <f>(O33/S33)*100</f>
        <v>1.9216615112239026</v>
      </c>
      <c r="P34" s="800">
        <f>(P33/S33)*100</f>
        <v>11.998410109098113</v>
      </c>
      <c r="Q34" s="800">
        <f>(Q33/S33)*100</f>
        <v>95.455896200687363</v>
      </c>
      <c r="R34" s="800">
        <f>(R33/S33)*100</f>
        <v>4.5441037993126354</v>
      </c>
      <c r="S34" s="800">
        <f>(S33/S33)*100</f>
        <v>100</v>
      </c>
      <c r="T34" s="752"/>
      <c r="U34" s="752"/>
      <c r="V34" s="376"/>
    </row>
    <row r="35" spans="1:22" ht="10.7" customHeight="1">
      <c r="A35" s="211" t="s">
        <v>225</v>
      </c>
      <c r="B35" s="748">
        <v>125469</v>
      </c>
      <c r="C35" s="748">
        <v>28482</v>
      </c>
      <c r="D35" s="748">
        <v>14208</v>
      </c>
      <c r="E35" s="748">
        <v>146503</v>
      </c>
      <c r="F35" s="748">
        <v>11589</v>
      </c>
      <c r="G35" s="748">
        <v>57072</v>
      </c>
      <c r="H35" s="748">
        <v>121332</v>
      </c>
      <c r="I35" s="748">
        <v>8228</v>
      </c>
      <c r="J35" s="748">
        <v>94571</v>
      </c>
      <c r="K35" s="748">
        <v>27545</v>
      </c>
      <c r="L35" s="748">
        <v>60119</v>
      </c>
      <c r="M35" s="748">
        <v>30282</v>
      </c>
      <c r="N35" s="748">
        <v>21392</v>
      </c>
      <c r="O35" s="748">
        <v>17731</v>
      </c>
      <c r="P35" s="748">
        <v>104608</v>
      </c>
      <c r="Q35" s="749">
        <f>SUM(B35:P35)</f>
        <v>869131</v>
      </c>
      <c r="R35" s="748">
        <v>46698</v>
      </c>
      <c r="S35" s="748">
        <f>Q35+R35</f>
        <v>915829</v>
      </c>
      <c r="T35" s="748">
        <v>72513</v>
      </c>
      <c r="U35" s="748">
        <f>S35+T35</f>
        <v>988342</v>
      </c>
      <c r="V35" s="270" t="s">
        <v>225</v>
      </c>
    </row>
    <row r="36" spans="1:22" ht="10.7" customHeight="1">
      <c r="A36" s="376"/>
      <c r="B36" s="800">
        <f>(B35/S35)*100</f>
        <v>13.700046624424427</v>
      </c>
      <c r="C36" s="800">
        <f>(C35/S35)*100</f>
        <v>3.109969219144622</v>
      </c>
      <c r="D36" s="800">
        <f>(D35/S35)*100</f>
        <v>1.5513813168178776</v>
      </c>
      <c r="E36" s="800">
        <f>(E35/S35)*100</f>
        <v>15.996763587962381</v>
      </c>
      <c r="F36" s="800">
        <f>(F35/S35)*100</f>
        <v>1.2654109009432983</v>
      </c>
      <c r="G36" s="800">
        <f>(G35/S35)*100</f>
        <v>6.2317310327582991</v>
      </c>
      <c r="H36" s="800">
        <f>(H35/S35)*100</f>
        <v>13.248324741845913</v>
      </c>
      <c r="I36" s="800">
        <f>(I35/S35)*100</f>
        <v>0.89842099343873139</v>
      </c>
      <c r="J36" s="800">
        <f>(J35/S35)*100</f>
        <v>10.326272699379469</v>
      </c>
      <c r="K36" s="800">
        <f>(K35/S35)*100</f>
        <v>3.0076575430566188</v>
      </c>
      <c r="L36" s="800">
        <f>(L35/S35)*100</f>
        <v>6.5644350637509845</v>
      </c>
      <c r="M36" s="800">
        <f>(M35/S35)*100</f>
        <v>3.3065124602955356</v>
      </c>
      <c r="N36" s="800">
        <f>(N35/S35)*100</f>
        <v>2.3358072303890793</v>
      </c>
      <c r="O36" s="800">
        <f>(O35/S35)*100</f>
        <v>1.9360601160260269</v>
      </c>
      <c r="P36" s="800">
        <f>(P35/S35)*100</f>
        <v>11.422219650174869</v>
      </c>
      <c r="Q36" s="800">
        <f>(Q35/S35)*100</f>
        <v>94.901013180408128</v>
      </c>
      <c r="R36" s="800">
        <f>(R35/S35)*100</f>
        <v>5.0989868195918673</v>
      </c>
      <c r="S36" s="800">
        <f>(S35/S35)*100</f>
        <v>100</v>
      </c>
      <c r="T36" s="752"/>
      <c r="U36" s="752"/>
      <c r="V36" s="376"/>
    </row>
    <row r="37" spans="1:22" ht="10.7" customHeight="1">
      <c r="A37" s="211" t="s">
        <v>972</v>
      </c>
      <c r="B37" s="748">
        <v>138879</v>
      </c>
      <c r="C37" s="748">
        <v>31827</v>
      </c>
      <c r="D37" s="748">
        <v>16650</v>
      </c>
      <c r="E37" s="748">
        <v>167928</v>
      </c>
      <c r="F37" s="748">
        <v>14189</v>
      </c>
      <c r="G37" s="748">
        <v>68305</v>
      </c>
      <c r="H37" s="748">
        <v>137396</v>
      </c>
      <c r="I37" s="748">
        <v>9755</v>
      </c>
      <c r="J37" s="748">
        <v>112702</v>
      </c>
      <c r="K37" s="748">
        <v>36316</v>
      </c>
      <c r="L37" s="748">
        <v>68715</v>
      </c>
      <c r="M37" s="748">
        <v>33499</v>
      </c>
      <c r="N37" s="748">
        <v>25048</v>
      </c>
      <c r="O37" s="748">
        <v>20133</v>
      </c>
      <c r="P37" s="748">
        <v>117293</v>
      </c>
      <c r="Q37" s="749">
        <f>SUM(B37:P37)</f>
        <v>998635</v>
      </c>
      <c r="R37" s="748">
        <v>56569</v>
      </c>
      <c r="S37" s="748">
        <f>Q37+R37</f>
        <v>1055204</v>
      </c>
      <c r="T37" s="748">
        <v>89302</v>
      </c>
      <c r="U37" s="748">
        <f>S37+T37</f>
        <v>1144506</v>
      </c>
      <c r="V37" s="270" t="s">
        <v>972</v>
      </c>
    </row>
    <row r="38" spans="1:22" ht="10.7" customHeight="1">
      <c r="A38" s="376"/>
      <c r="B38" s="800">
        <f>(B37/S37)*100</f>
        <v>13.161341314096612</v>
      </c>
      <c r="C38" s="800">
        <f>(C37/S37)*100</f>
        <v>3.0161940250416035</v>
      </c>
      <c r="D38" s="800">
        <f>(D37/S37)*100</f>
        <v>1.5778939427826277</v>
      </c>
      <c r="E38" s="800">
        <f>(E37/S37)*100</f>
        <v>15.914268710126194</v>
      </c>
      <c r="F38" s="800">
        <f>(F37/S37)*100</f>
        <v>1.344668898146709</v>
      </c>
      <c r="G38" s="800">
        <f>(G37/S37)*100</f>
        <v>6.473155901607651</v>
      </c>
      <c r="H38" s="800">
        <f>(H37/S37)*100</f>
        <v>13.02079976952324</v>
      </c>
      <c r="I38" s="800">
        <f>(I37/S37)*100</f>
        <v>0.92446579050117317</v>
      </c>
      <c r="J38" s="800">
        <f>(J37/S37)*100</f>
        <v>10.68058877714641</v>
      </c>
      <c r="K38" s="800">
        <f>(K37/S37)*100</f>
        <v>3.441609394960595</v>
      </c>
      <c r="L38" s="800">
        <f>(L37/S37)*100</f>
        <v>6.5120109476461421</v>
      </c>
      <c r="M38" s="800">
        <f>(M37/S37)*100</f>
        <v>3.17464679815467</v>
      </c>
      <c r="N38" s="800">
        <f>(N37/S37)*100</f>
        <v>2.3737590077368926</v>
      </c>
      <c r="O38" s="800">
        <f>(O37/S37)*100</f>
        <v>1.9079722972998585</v>
      </c>
      <c r="P38" s="800">
        <f>(P37/S37)*100</f>
        <v>11.115670524372538</v>
      </c>
      <c r="Q38" s="800">
        <f>(Q37/S37)*100</f>
        <v>94.639046099142917</v>
      </c>
      <c r="R38" s="800">
        <f>(R37/S37)*100</f>
        <v>5.3609539008570861</v>
      </c>
      <c r="S38" s="800">
        <f>(S37/S37)*100</f>
        <v>100</v>
      </c>
      <c r="T38" s="752"/>
      <c r="U38" s="752"/>
      <c r="V38" s="377"/>
    </row>
    <row r="39" spans="1:22" ht="10.7" customHeight="1">
      <c r="A39" s="211" t="s">
        <v>1107</v>
      </c>
      <c r="B39" s="748">
        <v>148758</v>
      </c>
      <c r="C39" s="748">
        <v>36995</v>
      </c>
      <c r="D39" s="748">
        <v>19461</v>
      </c>
      <c r="E39" s="748">
        <v>197127</v>
      </c>
      <c r="F39" s="748">
        <v>16381</v>
      </c>
      <c r="G39" s="748">
        <v>82432</v>
      </c>
      <c r="H39" s="748">
        <v>154579</v>
      </c>
      <c r="I39" s="748">
        <v>11263</v>
      </c>
      <c r="J39" s="748">
        <v>124281</v>
      </c>
      <c r="K39" s="748">
        <v>42237</v>
      </c>
      <c r="L39" s="748">
        <v>78820</v>
      </c>
      <c r="M39" s="748">
        <v>37678</v>
      </c>
      <c r="N39" s="748">
        <v>28429</v>
      </c>
      <c r="O39" s="748">
        <v>23868</v>
      </c>
      <c r="P39" s="748">
        <v>138952</v>
      </c>
      <c r="Q39" s="749">
        <f>SUM(B39:P39)</f>
        <v>1141261</v>
      </c>
      <c r="R39" s="748">
        <v>57662</v>
      </c>
      <c r="S39" s="748">
        <f>Q39+R39</f>
        <v>1198923</v>
      </c>
      <c r="T39" s="748">
        <v>96429</v>
      </c>
      <c r="U39" s="748">
        <f>S39+T39</f>
        <v>1295352</v>
      </c>
      <c r="V39" s="270" t="s">
        <v>1107</v>
      </c>
    </row>
    <row r="40" spans="1:22" ht="10.7" customHeight="1">
      <c r="A40" s="376"/>
      <c r="B40" s="800">
        <f>(B39/S39)*100</f>
        <v>12.407635853178228</v>
      </c>
      <c r="C40" s="800">
        <f>(C39/S39)*100</f>
        <v>3.0856860699144151</v>
      </c>
      <c r="D40" s="800">
        <f>(D39/S39)*100</f>
        <v>1.623206828128245</v>
      </c>
      <c r="E40" s="800">
        <f>(E39/S39)*100</f>
        <v>16.442006701014162</v>
      </c>
      <c r="F40" s="800">
        <f>(F39/S39)*100</f>
        <v>1.3663095961959191</v>
      </c>
      <c r="G40" s="800">
        <f>(G39/S39)*100</f>
        <v>6.8755040982615228</v>
      </c>
      <c r="H40" s="800">
        <f>(H39/S39)*100</f>
        <v>12.893154939891888</v>
      </c>
      <c r="I40" s="800">
        <f>(I39/S39)*100</f>
        <v>0.93942646858889178</v>
      </c>
      <c r="J40" s="800">
        <f>(J39/S39)*100</f>
        <v>10.366053533045909</v>
      </c>
      <c r="K40" s="800">
        <f>(K39/S39)*100</f>
        <v>3.5229118133524842</v>
      </c>
      <c r="L40" s="800">
        <f>(L39/S39)*100</f>
        <v>6.5742337080863411</v>
      </c>
      <c r="M40" s="800">
        <f>(M39/S39)*100</f>
        <v>3.1426538651773299</v>
      </c>
      <c r="N40" s="800">
        <f>(N39/S39)*100</f>
        <v>2.3712114956506798</v>
      </c>
      <c r="O40" s="800">
        <f>(O39/S39)*100</f>
        <v>1.9907867310911542</v>
      </c>
      <c r="P40" s="800">
        <f>(P39/S39)*100</f>
        <v>11.589735120604075</v>
      </c>
      <c r="Q40" s="800">
        <f>(Q39/S39)*100</f>
        <v>95.190516822181237</v>
      </c>
      <c r="R40" s="800">
        <f>(R39/S39)*100</f>
        <v>4.809483177818759</v>
      </c>
      <c r="S40" s="800">
        <f>(S39/S39)*100</f>
        <v>100</v>
      </c>
      <c r="T40" s="752"/>
      <c r="U40" s="752"/>
      <c r="V40" s="377"/>
    </row>
    <row r="41" spans="1:22" ht="10.7" customHeight="1">
      <c r="A41" s="306" t="s">
        <v>1347</v>
      </c>
      <c r="B41" s="748">
        <v>163968</v>
      </c>
      <c r="C41" s="748">
        <v>42308</v>
      </c>
      <c r="D41" s="748">
        <v>21080</v>
      </c>
      <c r="E41" s="748">
        <v>223221</v>
      </c>
      <c r="F41" s="748">
        <v>18401</v>
      </c>
      <c r="G41" s="748">
        <v>90834</v>
      </c>
      <c r="H41" s="748">
        <v>172575</v>
      </c>
      <c r="I41" s="748">
        <v>13035</v>
      </c>
      <c r="J41" s="748">
        <v>134317</v>
      </c>
      <c r="K41" s="748">
        <v>48563</v>
      </c>
      <c r="L41" s="748">
        <v>91229</v>
      </c>
      <c r="M41" s="748">
        <v>44728</v>
      </c>
      <c r="N41" s="748">
        <v>32767</v>
      </c>
      <c r="O41" s="748">
        <v>26924</v>
      </c>
      <c r="P41" s="748">
        <v>156551</v>
      </c>
      <c r="Q41" s="749">
        <f>SUM(B41:P41)</f>
        <v>1280501</v>
      </c>
      <c r="R41" s="748">
        <v>63173</v>
      </c>
      <c r="S41" s="748">
        <f>Q41+R41</f>
        <v>1343674</v>
      </c>
      <c r="T41" s="748">
        <v>89549</v>
      </c>
      <c r="U41" s="748">
        <f>S41+T41</f>
        <v>1433223</v>
      </c>
      <c r="V41" s="270" t="s">
        <v>1347</v>
      </c>
    </row>
    <row r="42" spans="1:22" ht="10.7" customHeight="1">
      <c r="A42" s="376"/>
      <c r="B42" s="800">
        <f>(B41/S41)*100</f>
        <v>12.20295994415312</v>
      </c>
      <c r="C42" s="800">
        <f>(C41/S41)*100</f>
        <v>3.1486804090873233</v>
      </c>
      <c r="D42" s="800">
        <f>(D41/S41)*100</f>
        <v>1.5688329163174994</v>
      </c>
      <c r="E42" s="800">
        <f>(E41/S41)*100</f>
        <v>16.612734934217674</v>
      </c>
      <c r="F42" s="800">
        <f>(F41/S41)*100</f>
        <v>1.3694541979676618</v>
      </c>
      <c r="G42" s="800">
        <f>(G41/S41)*100</f>
        <v>6.7601218747999887</v>
      </c>
      <c r="H42" s="800">
        <f>(H41/S41)*100</f>
        <v>12.843517103106855</v>
      </c>
      <c r="I42" s="800">
        <f>(I41/S41)*100</f>
        <v>0.9701013787570496</v>
      </c>
      <c r="J42" s="800">
        <f>(J41/S41)*100</f>
        <v>9.9962490901811005</v>
      </c>
      <c r="K42" s="800">
        <f>(K41/S41)*100</f>
        <v>3.6141951098257463</v>
      </c>
      <c r="L42" s="800">
        <f>(L41/S41)*100</f>
        <v>6.7895188862774747</v>
      </c>
      <c r="M42" s="800">
        <f>(M41/S41)*100</f>
        <v>3.3287836186455944</v>
      </c>
      <c r="N42" s="800">
        <f>(N41/S41)*100</f>
        <v>2.4386123419817602</v>
      </c>
      <c r="O42" s="800">
        <f>(O41/S41)*100</f>
        <v>2.0037598405565635</v>
      </c>
      <c r="P42" s="800">
        <f>(P41/S41)*100</f>
        <v>11.650965933701181</v>
      </c>
      <c r="Q42" s="800">
        <f>(Q41/S41)*100</f>
        <v>95.298487579576602</v>
      </c>
      <c r="R42" s="800">
        <f>(R41/S41)*100</f>
        <v>4.7015124204234064</v>
      </c>
      <c r="S42" s="800">
        <f>(S41/S41)*100</f>
        <v>100</v>
      </c>
      <c r="T42" s="752"/>
      <c r="U42" s="752"/>
      <c r="V42" s="377"/>
    </row>
    <row r="43" spans="1:22" ht="10.7" customHeight="1">
      <c r="A43" s="676" t="s">
        <v>1406</v>
      </c>
      <c r="B43" s="748">
        <v>176500</v>
      </c>
      <c r="C43" s="748">
        <v>47581</v>
      </c>
      <c r="D43" s="748">
        <v>23876</v>
      </c>
      <c r="E43" s="748">
        <v>254483</v>
      </c>
      <c r="F43" s="748">
        <v>19868</v>
      </c>
      <c r="G43" s="748">
        <v>108484</v>
      </c>
      <c r="H43" s="748">
        <v>192585</v>
      </c>
      <c r="I43" s="748">
        <v>14928</v>
      </c>
      <c r="J43" s="748">
        <v>150025</v>
      </c>
      <c r="K43" s="748">
        <v>55761</v>
      </c>
      <c r="L43" s="748">
        <v>106061</v>
      </c>
      <c r="M43" s="748">
        <v>50674</v>
      </c>
      <c r="N43" s="748">
        <v>37624</v>
      </c>
      <c r="O43" s="748">
        <v>30135</v>
      </c>
      <c r="P43" s="748">
        <v>176402</v>
      </c>
      <c r="Q43" s="749">
        <f>SUM(B43:P43)</f>
        <v>1444987</v>
      </c>
      <c r="R43" s="748">
        <v>70815</v>
      </c>
      <c r="S43" s="748">
        <f>Q43+R43</f>
        <v>1515802</v>
      </c>
      <c r="T43" s="748">
        <v>98402</v>
      </c>
      <c r="U43" s="748">
        <f>S43+T43</f>
        <v>1614204</v>
      </c>
      <c r="V43" s="677" t="s">
        <v>1406</v>
      </c>
    </row>
    <row r="44" spans="1:22" ht="10.7" customHeight="1">
      <c r="A44" s="376"/>
      <c r="B44" s="800">
        <f>(B43/S43)*100</f>
        <v>11.644000997491757</v>
      </c>
      <c r="C44" s="800">
        <f>(C43/S43)*100</f>
        <v>3.1389983652218429</v>
      </c>
      <c r="D44" s="800">
        <f>(D43/S43)*100</f>
        <v>1.5751397609978086</v>
      </c>
      <c r="E44" s="800">
        <f>(E43/S43)*100</f>
        <v>16.788670288071923</v>
      </c>
      <c r="F44" s="800">
        <f>(F43/S43)*100</f>
        <v>1.3107252794230382</v>
      </c>
      <c r="G44" s="800">
        <f>(G43/S43)*100</f>
        <v>7.1568714119654153</v>
      </c>
      <c r="H44" s="800">
        <f>(H43/S43)*100</f>
        <v>12.705155422673938</v>
      </c>
      <c r="I44" s="800">
        <f>(I43/S43)*100</f>
        <v>0.9848251948473481</v>
      </c>
      <c r="J44" s="800">
        <f>(J43/S43)*100</f>
        <v>9.8974008478679938</v>
      </c>
      <c r="K44" s="800">
        <f>(K43/S43)*100</f>
        <v>3.6786466834058804</v>
      </c>
      <c r="L44" s="800">
        <f>(L43/S43)*100</f>
        <v>6.9970220384984323</v>
      </c>
      <c r="M44" s="800">
        <f>(M43/S43)*100</f>
        <v>3.3430487623053673</v>
      </c>
      <c r="N44" s="800">
        <f>(N43/S43)*100</f>
        <v>2.4821183769384128</v>
      </c>
      <c r="O44" s="800">
        <f>(O43/S43)*100</f>
        <v>1.9880564875887483</v>
      </c>
      <c r="P44" s="800">
        <f>(P43/S43)*100</f>
        <v>11.637535773141874</v>
      </c>
      <c r="Q44" s="800">
        <f>(Q43/S43)*100</f>
        <v>95.328215690439777</v>
      </c>
      <c r="R44" s="800">
        <f>(R43/S43)*100</f>
        <v>4.6717843095602198</v>
      </c>
      <c r="S44" s="800">
        <f>(S43/S43)*100</f>
        <v>100</v>
      </c>
      <c r="T44" s="752"/>
      <c r="U44" s="752"/>
      <c r="V44" s="377"/>
    </row>
    <row r="45" spans="1:22" ht="10.7" customHeight="1">
      <c r="A45" s="676" t="s">
        <v>1560</v>
      </c>
      <c r="B45" s="748">
        <v>190315</v>
      </c>
      <c r="C45" s="748">
        <v>53076</v>
      </c>
      <c r="D45" s="748">
        <v>28578</v>
      </c>
      <c r="E45" s="748">
        <v>295111</v>
      </c>
      <c r="F45" s="748">
        <v>23829</v>
      </c>
      <c r="G45" s="748">
        <v>126353</v>
      </c>
      <c r="H45" s="748">
        <v>214257</v>
      </c>
      <c r="I45" s="748">
        <v>17058</v>
      </c>
      <c r="J45" s="748">
        <v>169165</v>
      </c>
      <c r="K45" s="748">
        <v>63601</v>
      </c>
      <c r="L45" s="748">
        <v>123740</v>
      </c>
      <c r="M45" s="748">
        <v>66711</v>
      </c>
      <c r="N45" s="748">
        <v>46512</v>
      </c>
      <c r="O45" s="748">
        <v>34758</v>
      </c>
      <c r="P45" s="748">
        <v>194248</v>
      </c>
      <c r="Q45" s="749">
        <f>SUM(B45:P45)</f>
        <v>1647312</v>
      </c>
      <c r="R45" s="748">
        <v>85552</v>
      </c>
      <c r="S45" s="748">
        <f>Q45+R45</f>
        <v>1732864</v>
      </c>
      <c r="T45" s="748">
        <v>99811</v>
      </c>
      <c r="U45" s="748">
        <f>S45+T45</f>
        <v>1832675</v>
      </c>
      <c r="V45" s="677" t="s">
        <v>1560</v>
      </c>
    </row>
    <row r="46" spans="1:22" ht="10.7" customHeight="1">
      <c r="A46" s="376"/>
      <c r="B46" s="800">
        <f>(B45/S45)*100</f>
        <v>10.982685311715173</v>
      </c>
      <c r="C46" s="800">
        <f>(C45/S45)*100</f>
        <v>3.0629062638499041</v>
      </c>
      <c r="D46" s="800">
        <f>(D45/S45)*100</f>
        <v>1.6491773157039444</v>
      </c>
      <c r="E46" s="800">
        <f>(E45/S45)*100</f>
        <v>17.030245881961886</v>
      </c>
      <c r="F46" s="800">
        <f>(F45/S45)*100</f>
        <v>1.375122340818437</v>
      </c>
      <c r="G46" s="800">
        <f>(G45/S45)*100</f>
        <v>7.2915704867779585</v>
      </c>
      <c r="H46" s="800">
        <f>(H45/S45)*100</f>
        <v>12.364328648988034</v>
      </c>
      <c r="I46" s="800">
        <f>(I45/S45)*100</f>
        <v>0.98438192495198706</v>
      </c>
      <c r="J46" s="800">
        <f>(J45/S45)*100</f>
        <v>9.7621625240065004</v>
      </c>
      <c r="K46" s="800">
        <f>(K45/S45)*100</f>
        <v>3.6702822610429906</v>
      </c>
      <c r="L46" s="800">
        <f>(L45/S45)*100</f>
        <v>7.1407796572610422</v>
      </c>
      <c r="M46" s="800">
        <f>(M45/S45)*100</f>
        <v>3.8497539333727286</v>
      </c>
      <c r="N46" s="800">
        <f>(N45/S45)*100</f>
        <v>2.6841113901610281</v>
      </c>
      <c r="O46" s="800">
        <f>(O45/S45)*100</f>
        <v>2.0058123430344215</v>
      </c>
      <c r="P46" s="800">
        <f>(P45/S45)*100</f>
        <v>11.209650613089082</v>
      </c>
      <c r="Q46" s="800">
        <f>(Q45/S45)*100</f>
        <v>95.062970896735109</v>
      </c>
      <c r="R46" s="800">
        <f>(R45/S45)*100</f>
        <v>4.9370291032648836</v>
      </c>
      <c r="S46" s="800">
        <f>(S45/S45)*100</f>
        <v>100</v>
      </c>
      <c r="T46" s="752"/>
      <c r="U46" s="752"/>
      <c r="V46" s="377"/>
    </row>
    <row r="47" spans="1:22" s="536" customFormat="1" ht="10.7" customHeight="1">
      <c r="A47" s="211" t="s">
        <v>1596</v>
      </c>
      <c r="B47" s="748">
        <v>205398</v>
      </c>
      <c r="C47" s="748">
        <v>59627</v>
      </c>
      <c r="D47" s="748">
        <v>34127</v>
      </c>
      <c r="E47" s="748">
        <v>341829</v>
      </c>
      <c r="F47" s="748">
        <v>26244</v>
      </c>
      <c r="G47" s="748">
        <v>146107</v>
      </c>
      <c r="H47" s="748">
        <v>243958</v>
      </c>
      <c r="I47" s="748">
        <v>19318</v>
      </c>
      <c r="J47" s="748">
        <v>187076</v>
      </c>
      <c r="K47" s="748">
        <v>73205</v>
      </c>
      <c r="L47" s="748">
        <v>144539</v>
      </c>
      <c r="M47" s="748">
        <v>78441</v>
      </c>
      <c r="N47" s="748">
        <v>56856</v>
      </c>
      <c r="O47" s="748">
        <v>38987</v>
      </c>
      <c r="P47" s="748">
        <v>214213</v>
      </c>
      <c r="Q47" s="749">
        <f>SUM(B47:P47)</f>
        <v>1869925</v>
      </c>
      <c r="R47" s="748">
        <v>105892</v>
      </c>
      <c r="S47" s="748">
        <f>Q47+R47</f>
        <v>1975817</v>
      </c>
      <c r="T47" s="748">
        <v>84901</v>
      </c>
      <c r="U47" s="748">
        <f>S47+T47</f>
        <v>2060718</v>
      </c>
      <c r="V47" s="678" t="s">
        <v>1596</v>
      </c>
    </row>
    <row r="48" spans="1:22" ht="10.7" customHeight="1">
      <c r="A48" s="376"/>
      <c r="B48" s="800">
        <f>(B47/S47)*100</f>
        <v>10.395598377784987</v>
      </c>
      <c r="C48" s="800">
        <f>(C47/S47)*100</f>
        <v>3.017840214959179</v>
      </c>
      <c r="D48" s="800">
        <f>(D47/S47)*100</f>
        <v>1.7272348603134806</v>
      </c>
      <c r="E48" s="800">
        <f>(E47/S47)*100</f>
        <v>17.300640696987628</v>
      </c>
      <c r="F48" s="800">
        <f>(F47/S47)*100</f>
        <v>1.3282606638165377</v>
      </c>
      <c r="G48" s="800">
        <f>(G47/S47)*100</f>
        <v>7.3947637863223159</v>
      </c>
      <c r="H48" s="800">
        <f>(H47/S47)*100</f>
        <v>12.34719612190805</v>
      </c>
      <c r="I48" s="800">
        <f>(I47/S47)*100</f>
        <v>0.97772212709982753</v>
      </c>
      <c r="J48" s="800">
        <f>(J47/S47)*100</f>
        <v>9.4682857774783802</v>
      </c>
      <c r="K48" s="800">
        <f>(K47/S47)*100</f>
        <v>3.7050496073269943</v>
      </c>
      <c r="L48" s="800">
        <f>(L47/S47)*100</f>
        <v>7.315404210005279</v>
      </c>
      <c r="M48" s="800">
        <f>(M47/S47)*100</f>
        <v>3.9700539068142442</v>
      </c>
      <c r="N48" s="800">
        <f>(N47/S47)*100</f>
        <v>2.8775944330876797</v>
      </c>
      <c r="O48" s="800">
        <f>(O47/S47)*100</f>
        <v>1.9732090573165428</v>
      </c>
      <c r="P48" s="800">
        <f>(P47/S47)*100</f>
        <v>10.841742934694864</v>
      </c>
      <c r="Q48" s="800">
        <f>(Q47/S47)*100</f>
        <v>94.640596775915981</v>
      </c>
      <c r="R48" s="800">
        <f>(R47/S47)*100</f>
        <v>5.3594032240840122</v>
      </c>
      <c r="S48" s="800">
        <f>(S47/S47)*100</f>
        <v>100</v>
      </c>
      <c r="T48" s="752"/>
      <c r="U48" s="752"/>
      <c r="V48" s="377"/>
    </row>
    <row r="49" spans="1:27" s="536" customFormat="1" ht="10.7" customHeight="1">
      <c r="A49" s="211" t="s">
        <v>1756</v>
      </c>
      <c r="B49" s="748">
        <v>227353</v>
      </c>
      <c r="C49" s="748">
        <v>66882</v>
      </c>
      <c r="D49" s="748">
        <v>38884</v>
      </c>
      <c r="E49" s="748">
        <v>404144</v>
      </c>
      <c r="F49" s="748">
        <v>29336</v>
      </c>
      <c r="G49" s="748">
        <v>169855</v>
      </c>
      <c r="H49" s="748">
        <v>279823</v>
      </c>
      <c r="I49" s="748">
        <v>22123</v>
      </c>
      <c r="J49" s="748">
        <v>204630</v>
      </c>
      <c r="K49" s="748">
        <v>83728</v>
      </c>
      <c r="L49" s="748">
        <v>166419</v>
      </c>
      <c r="M49" s="477">
        <v>90228</v>
      </c>
      <c r="N49" s="748">
        <v>64478</v>
      </c>
      <c r="O49" s="748">
        <v>44064</v>
      </c>
      <c r="P49" s="748">
        <v>236378</v>
      </c>
      <c r="Q49" s="749">
        <f>SUM(B49:P49)</f>
        <v>2128325</v>
      </c>
      <c r="R49" s="748">
        <v>122156</v>
      </c>
      <c r="S49" s="748">
        <f>Q49+R49</f>
        <v>2250481</v>
      </c>
      <c r="T49" s="748">
        <v>102628</v>
      </c>
      <c r="U49" s="748">
        <f>S49+T49</f>
        <v>2353109</v>
      </c>
      <c r="V49" s="270" t="s">
        <v>1756</v>
      </c>
    </row>
    <row r="50" spans="1:27" ht="10.7" customHeight="1">
      <c r="A50" s="376"/>
      <c r="B50" s="800">
        <f>(B49/S49)*100</f>
        <v>10.102418105285048</v>
      </c>
      <c r="C50" s="800">
        <f>(C49/S49)*100</f>
        <v>2.97189800758149</v>
      </c>
      <c r="D50" s="800">
        <f>(D49/S49)*100</f>
        <v>1.7278084107353049</v>
      </c>
      <c r="E50" s="800">
        <f>(E49/S49)*100</f>
        <v>17.958116509315118</v>
      </c>
      <c r="F50" s="800">
        <f>(F49/S49)*100</f>
        <v>1.3035435535781019</v>
      </c>
      <c r="G50" s="800">
        <f>(G49/S49)*100</f>
        <v>7.5474976238413038</v>
      </c>
      <c r="H50" s="800">
        <f>(H49/S49)*100</f>
        <v>12.433919682059081</v>
      </c>
      <c r="I50" s="800">
        <f>(I49/S49)*100</f>
        <v>0.98303429355768834</v>
      </c>
      <c r="J50" s="800">
        <f>(J49/S49)*100</f>
        <v>9.0927228445830028</v>
      </c>
      <c r="K50" s="800">
        <f>(K49/S49)*100</f>
        <v>3.7204490951045575</v>
      </c>
      <c r="L50" s="800">
        <f>(L49/S49)*100</f>
        <v>7.3948191519946178</v>
      </c>
      <c r="M50" s="800">
        <f>(M49/S49)*100</f>
        <v>4.0092762391684262</v>
      </c>
      <c r="N50" s="800">
        <f>(N49/S49)*100</f>
        <v>2.8650763992230996</v>
      </c>
      <c r="O50" s="800">
        <f>(O49/S49)*100</f>
        <v>1.9579814270815885</v>
      </c>
      <c r="P50" s="800">
        <f>(P49/S49)*100</f>
        <v>10.503443486081419</v>
      </c>
      <c r="Q50" s="800">
        <f>(Q49/S49)*100</f>
        <v>94.572004829189851</v>
      </c>
      <c r="R50" s="800">
        <f>(R49/S49)*100</f>
        <v>5.427995170810151</v>
      </c>
      <c r="S50" s="800">
        <f>(S49/S49)*100</f>
        <v>100</v>
      </c>
      <c r="T50" s="752"/>
      <c r="U50" s="752"/>
      <c r="V50" s="377"/>
    </row>
    <row r="51" spans="1:27" s="536" customFormat="1" ht="10.7" customHeight="1">
      <c r="A51" s="211" t="s">
        <v>1904</v>
      </c>
      <c r="B51" s="748">
        <v>248119</v>
      </c>
      <c r="C51" s="748">
        <v>74275</v>
      </c>
      <c r="D51" s="748">
        <v>43964</v>
      </c>
      <c r="E51" s="748">
        <v>481359</v>
      </c>
      <c r="F51" s="748">
        <v>32087</v>
      </c>
      <c r="G51" s="748">
        <v>196403</v>
      </c>
      <c r="H51" s="748">
        <v>322722</v>
      </c>
      <c r="I51" s="748">
        <v>25234</v>
      </c>
      <c r="J51" s="748">
        <v>226025</v>
      </c>
      <c r="K51" s="748">
        <v>94202</v>
      </c>
      <c r="L51" s="748">
        <v>190487</v>
      </c>
      <c r="M51" s="748">
        <v>98957</v>
      </c>
      <c r="N51" s="748">
        <v>73091</v>
      </c>
      <c r="O51" s="748">
        <v>52006</v>
      </c>
      <c r="P51" s="748">
        <v>260961</v>
      </c>
      <c r="Q51" s="749">
        <f>SUM(B51:P51)</f>
        <v>2419892</v>
      </c>
      <c r="R51" s="748">
        <v>122592</v>
      </c>
      <c r="S51" s="748">
        <f>Q51+R51</f>
        <v>2542484</v>
      </c>
      <c r="T51" s="748">
        <v>113610</v>
      </c>
      <c r="U51" s="748">
        <f>S51+T51</f>
        <v>2656094</v>
      </c>
      <c r="V51" s="270" t="s">
        <v>1904</v>
      </c>
    </row>
    <row r="52" spans="1:27" ht="10.7" customHeight="1">
      <c r="A52" s="376"/>
      <c r="B52" s="800">
        <f>(B51/S51)*100</f>
        <v>9.7589208034347514</v>
      </c>
      <c r="C52" s="800">
        <f>(C51/S51)*100</f>
        <v>2.921355650615697</v>
      </c>
      <c r="D52" s="800">
        <f>(D51/S51)*100</f>
        <v>1.7291750901873915</v>
      </c>
      <c r="E52" s="800">
        <f>(E51/S51)*100</f>
        <v>18.932626518003655</v>
      </c>
      <c r="F52" s="800">
        <f>(F51/S51)*100</f>
        <v>1.2620335073888371</v>
      </c>
      <c r="G52" s="800">
        <f>(G51/S51)*100</f>
        <v>7.724847039352067</v>
      </c>
      <c r="H52" s="800">
        <f>(H51/S51)*100</f>
        <v>12.69317722353415</v>
      </c>
      <c r="I52" s="800">
        <f>(I51/S51)*100</f>
        <v>0.9924939547308852</v>
      </c>
      <c r="J52" s="800">
        <f>(J51/S51)*100</f>
        <v>8.8899281175417428</v>
      </c>
      <c r="K52" s="800">
        <f>(K51/S51)*100</f>
        <v>3.7051167283648585</v>
      </c>
      <c r="L52" s="800">
        <f>(L51/S51)*100</f>
        <v>7.4921612092740801</v>
      </c>
      <c r="M52" s="800">
        <f>(M51/S51)*100</f>
        <v>3.892138554264255</v>
      </c>
      <c r="N52" s="800">
        <f>(N51/S51)*100</f>
        <v>2.874787019308676</v>
      </c>
      <c r="O52" s="800">
        <f>(O51/S51)*100</f>
        <v>2.045479932223762</v>
      </c>
      <c r="P52" s="800">
        <f>(P51/S51)*100</f>
        <v>10.264017394013099</v>
      </c>
      <c r="Q52" s="800">
        <f>(Q51/S51)*100</f>
        <v>95.178258742237915</v>
      </c>
      <c r="R52" s="800">
        <f>(R51/S51)*100</f>
        <v>4.8217412577620937</v>
      </c>
      <c r="S52" s="800">
        <f>(S51/S51)*100</f>
        <v>100</v>
      </c>
      <c r="T52" s="752"/>
      <c r="U52" s="752"/>
      <c r="V52" s="377"/>
    </row>
    <row r="53" spans="1:27" s="536" customFormat="1" ht="10.7" customHeight="1">
      <c r="A53" s="184" t="s">
        <v>2125</v>
      </c>
      <c r="B53" s="748">
        <v>265182</v>
      </c>
      <c r="C53" s="748">
        <v>82457</v>
      </c>
      <c r="D53" s="748">
        <v>47335</v>
      </c>
      <c r="E53" s="748">
        <v>525269</v>
      </c>
      <c r="F53" s="748">
        <v>34318</v>
      </c>
      <c r="G53" s="748">
        <v>224167</v>
      </c>
      <c r="H53" s="748">
        <v>360284</v>
      </c>
      <c r="I53" s="748">
        <v>28449</v>
      </c>
      <c r="J53" s="748">
        <v>248768</v>
      </c>
      <c r="K53" s="748">
        <v>101130</v>
      </c>
      <c r="L53" s="748">
        <v>212498</v>
      </c>
      <c r="M53" s="748">
        <v>111799</v>
      </c>
      <c r="N53" s="748">
        <v>81894</v>
      </c>
      <c r="O53" s="748">
        <v>58774</v>
      </c>
      <c r="P53" s="748">
        <v>287827</v>
      </c>
      <c r="Q53" s="749">
        <f>SUM(B53:P53)</f>
        <v>2670151</v>
      </c>
      <c r="R53" s="748">
        <v>126227</v>
      </c>
      <c r="S53" s="748">
        <f>Q53+R53</f>
        <v>2796378</v>
      </c>
      <c r="T53" s="748">
        <v>134048</v>
      </c>
      <c r="U53" s="748">
        <f>S53+T53</f>
        <v>2930426</v>
      </c>
      <c r="V53" s="270" t="s">
        <v>2125</v>
      </c>
    </row>
    <row r="54" spans="1:27" ht="10.7" customHeight="1" thickBot="1">
      <c r="A54" s="419"/>
      <c r="B54" s="750">
        <f>(B53/S53)*100</f>
        <v>9.4830527203403836</v>
      </c>
      <c r="C54" s="750">
        <f>(C53/S53)*100</f>
        <v>2.948707220554589</v>
      </c>
      <c r="D54" s="750">
        <f>(D53/S53)*100</f>
        <v>1.6927253754678371</v>
      </c>
      <c r="E54" s="750">
        <f>(E53/S53)*100</f>
        <v>18.783905466285315</v>
      </c>
      <c r="F54" s="750">
        <f>(F53/S53)*100</f>
        <v>1.2272303672822487</v>
      </c>
      <c r="G54" s="750">
        <f>(G53/S53)*100</f>
        <v>8.0163339863208769</v>
      </c>
      <c r="H54" s="750">
        <f>(H53/S53)*100</f>
        <v>12.883952026514297</v>
      </c>
      <c r="I54" s="750">
        <f>(I53/S53)*100</f>
        <v>1.0173517314182847</v>
      </c>
      <c r="J54" s="750">
        <f>(J53/S53)*100</f>
        <v>8.8960791423763173</v>
      </c>
      <c r="K54" s="750">
        <f>(K53/S53)*100</f>
        <v>3.6164638686186206</v>
      </c>
      <c r="L54" s="750">
        <f>(L53/S53)*100</f>
        <v>7.5990441921657226</v>
      </c>
      <c r="M54" s="750">
        <f>(M53/S53)*100</f>
        <v>3.9979931182408097</v>
      </c>
      <c r="N54" s="750">
        <f>(N53/S53)*100</f>
        <v>2.9285740339825299</v>
      </c>
      <c r="O54" s="750">
        <f>(O53/S53)*100</f>
        <v>2.1017902443804091</v>
      </c>
      <c r="P54" s="750">
        <f>(P53/S53)*100</f>
        <v>10.292850251289346</v>
      </c>
      <c r="Q54" s="750">
        <f>(Q53/S53)*100</f>
        <v>95.486053745237584</v>
      </c>
      <c r="R54" s="750">
        <f>(R53/S53)*100</f>
        <v>4.5139462547624101</v>
      </c>
      <c r="S54" s="750">
        <f>(S53/S53)*100</f>
        <v>100</v>
      </c>
      <c r="T54" s="762"/>
      <c r="U54" s="762"/>
      <c r="V54" s="675"/>
    </row>
    <row r="55" spans="1:27" ht="10.5" customHeight="1">
      <c r="A55" s="97" t="s">
        <v>404</v>
      </c>
      <c r="B55" s="2076" t="s">
        <v>1734</v>
      </c>
      <c r="C55" s="2076"/>
      <c r="D55" s="2076"/>
      <c r="E55" s="2076"/>
      <c r="F55" s="2076"/>
      <c r="G55" s="2076"/>
      <c r="H55" s="2076"/>
      <c r="I55" s="2076"/>
      <c r="J55" s="2076"/>
      <c r="K55" s="2076"/>
      <c r="L55" s="116" t="s">
        <v>403</v>
      </c>
      <c r="M55" s="2076" t="s">
        <v>1645</v>
      </c>
      <c r="N55" s="2076"/>
      <c r="O55" s="2076"/>
      <c r="P55" s="41"/>
      <c r="Q55" s="2077"/>
      <c r="R55" s="2077"/>
      <c r="S55" s="41"/>
      <c r="V55" s="41"/>
      <c r="W55" s="89"/>
      <c r="X55" s="89"/>
      <c r="Y55" s="89"/>
      <c r="Z55" s="89"/>
      <c r="AA55" s="89"/>
    </row>
    <row r="56" spans="1:27" ht="11.25" customHeight="1">
      <c r="B56" s="2078" t="s">
        <v>1646</v>
      </c>
      <c r="C56" s="2078"/>
      <c r="D56" s="2078"/>
      <c r="E56" s="103"/>
      <c r="F56" s="103"/>
      <c r="G56" s="2079" t="s">
        <v>2126</v>
      </c>
      <c r="H56" s="2079"/>
      <c r="I56" s="103"/>
      <c r="J56" s="1210"/>
      <c r="K56" s="1210"/>
      <c r="L56" s="70"/>
      <c r="M56" s="2080"/>
      <c r="N56" s="2080"/>
      <c r="O56" s="2080"/>
      <c r="W56" s="89"/>
      <c r="X56" s="793"/>
      <c r="Y56" s="89"/>
      <c r="Z56" s="89"/>
      <c r="AA56" s="89"/>
    </row>
    <row r="57" spans="1:27" ht="10.5" customHeight="1">
      <c r="T57" s="748"/>
      <c r="W57" s="89"/>
      <c r="X57" s="793"/>
      <c r="Y57" s="89"/>
      <c r="Z57" s="89"/>
      <c r="AA57" s="89"/>
    </row>
    <row r="58" spans="1:27" ht="10.5" customHeight="1">
      <c r="S58" s="8"/>
      <c r="W58" s="89"/>
      <c r="X58" s="794"/>
      <c r="Y58" s="89"/>
      <c r="Z58" s="89"/>
      <c r="AA58" s="89"/>
    </row>
    <row r="59" spans="1:27" ht="10.5" customHeight="1">
      <c r="J59" s="792"/>
      <c r="W59" s="89"/>
      <c r="X59" s="793"/>
      <c r="Y59" s="89"/>
      <c r="Z59" s="89"/>
      <c r="AA59" s="89"/>
    </row>
    <row r="60" spans="1:27" ht="10.5" customHeight="1">
      <c r="S60" s="960"/>
      <c r="W60" s="89"/>
      <c r="X60" s="89"/>
      <c r="Y60" s="89"/>
      <c r="Z60" s="89"/>
      <c r="AA60" s="89"/>
    </row>
    <row r="61" spans="1:27">
      <c r="W61" s="89"/>
      <c r="X61" s="89"/>
    </row>
    <row r="62" spans="1:27">
      <c r="W62" s="89"/>
      <c r="X62" s="89"/>
    </row>
    <row r="63" spans="1:27">
      <c r="H63" s="674"/>
      <c r="W63" s="89"/>
      <c r="X63" s="89"/>
    </row>
    <row r="64" spans="1:27">
      <c r="H64" s="671"/>
      <c r="W64" s="89"/>
      <c r="X64" s="89"/>
    </row>
    <row r="65" spans="8:24">
      <c r="H65" s="671"/>
      <c r="W65" s="89"/>
      <c r="X65" s="89"/>
    </row>
    <row r="66" spans="8:24">
      <c r="H66" s="671"/>
      <c r="W66" s="89"/>
      <c r="X66" s="89"/>
    </row>
    <row r="67" spans="8:24">
      <c r="H67" s="672"/>
      <c r="W67" s="89"/>
      <c r="X67" s="89"/>
    </row>
    <row r="68" spans="8:24">
      <c r="H68" s="672"/>
      <c r="W68" s="89"/>
      <c r="X68" s="89"/>
    </row>
    <row r="69" spans="8:24">
      <c r="H69" s="673"/>
    </row>
    <row r="70" spans="8:24">
      <c r="H70" s="673"/>
    </row>
    <row r="71" spans="8:24">
      <c r="H71" s="672"/>
    </row>
    <row r="72" spans="8:24">
      <c r="H72" s="672"/>
    </row>
    <row r="73" spans="8:24">
      <c r="H73" s="672"/>
    </row>
    <row r="74" spans="8:24">
      <c r="H74" s="672"/>
    </row>
    <row r="75" spans="8:24">
      <c r="H75" s="672"/>
    </row>
    <row r="76" spans="8:24">
      <c r="H76" s="672"/>
    </row>
    <row r="77" spans="8:24">
      <c r="H77" s="673"/>
    </row>
  </sheetData>
  <mergeCells count="12">
    <mergeCell ref="B55:K55"/>
    <mergeCell ref="M55:O55"/>
    <mergeCell ref="Q55:R55"/>
    <mergeCell ref="B56:D56"/>
    <mergeCell ref="G56:H56"/>
    <mergeCell ref="M56:O56"/>
    <mergeCell ref="A1:K1"/>
    <mergeCell ref="U1:V1"/>
    <mergeCell ref="U2:V2"/>
    <mergeCell ref="L1:T1"/>
    <mergeCell ref="A3:A4"/>
    <mergeCell ref="V3:V4"/>
  </mergeCells>
  <phoneticPr fontId="43" type="noConversion"/>
  <pageMargins left="0.62992125984252001" right="0.511811023622047" top="0.31496062992126" bottom="0.31496062992126" header="0.25" footer="0"/>
  <pageSetup paperSize="448" firstPageNumber="46" orientation="portrait" useFirstPageNumber="1" r:id="rId1"/>
  <headerFooter>
    <oddFooter>&amp;C&amp;"Times New Roman,Regular"&amp;8&amp;P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2:D42"/>
  <sheetViews>
    <sheetView topLeftCell="A19" zoomScale="124" zoomScaleNormal="124" workbookViewId="0">
      <selection activeCell="C35" sqref="C35"/>
    </sheetView>
  </sheetViews>
  <sheetFormatPr defaultRowHeight="12.75"/>
  <cols>
    <col min="1" max="1" width="1.7109375" customWidth="1"/>
    <col min="2" max="2" width="5.140625" customWidth="1"/>
    <col min="3" max="3" width="112.7109375" bestFit="1" customWidth="1"/>
    <col min="4" max="4" width="48.85546875" customWidth="1"/>
  </cols>
  <sheetData>
    <row r="2" spans="2:4" ht="18.75">
      <c r="B2" s="244" t="s">
        <v>976</v>
      </c>
      <c r="C2" s="244"/>
      <c r="D2" s="244"/>
    </row>
    <row r="3" spans="2:4">
      <c r="B3" s="49" t="s">
        <v>977</v>
      </c>
      <c r="C3" s="245" t="s">
        <v>1705</v>
      </c>
      <c r="D3" s="238"/>
    </row>
    <row r="4" spans="2:4">
      <c r="B4" s="49" t="s">
        <v>978</v>
      </c>
      <c r="C4" s="245" t="s">
        <v>1667</v>
      </c>
      <c r="D4" s="238"/>
    </row>
    <row r="5" spans="2:4">
      <c r="B5" s="49" t="s">
        <v>979</v>
      </c>
      <c r="C5" s="245" t="s">
        <v>1008</v>
      </c>
      <c r="D5" s="238"/>
    </row>
    <row r="6" spans="2:4">
      <c r="B6" s="49" t="s">
        <v>980</v>
      </c>
      <c r="C6" s="245" t="s">
        <v>981</v>
      </c>
      <c r="D6" s="238"/>
    </row>
    <row r="7" spans="2:4">
      <c r="B7" s="49" t="s">
        <v>982</v>
      </c>
      <c r="C7" s="245" t="s">
        <v>1668</v>
      </c>
      <c r="D7" s="238"/>
    </row>
    <row r="8" spans="2:4">
      <c r="B8" s="49" t="s">
        <v>983</v>
      </c>
      <c r="C8" s="245" t="s">
        <v>1669</v>
      </c>
      <c r="D8" s="238"/>
    </row>
    <row r="9" spans="2:4">
      <c r="B9" s="49" t="s">
        <v>984</v>
      </c>
      <c r="C9" s="245" t="s">
        <v>1009</v>
      </c>
      <c r="D9" s="238"/>
    </row>
    <row r="10" spans="2:4" s="239" customFormat="1">
      <c r="B10" s="237" t="s">
        <v>985</v>
      </c>
      <c r="C10" s="1139" t="s">
        <v>1092</v>
      </c>
      <c r="D10" s="238"/>
    </row>
    <row r="11" spans="2:4" s="239" customFormat="1">
      <c r="B11" s="237" t="s">
        <v>1437</v>
      </c>
      <c r="C11" s="245" t="s">
        <v>1438</v>
      </c>
      <c r="D11" s="238"/>
    </row>
    <row r="12" spans="2:4" s="239" customFormat="1">
      <c r="B12" s="237" t="s">
        <v>986</v>
      </c>
      <c r="C12" s="245" t="s">
        <v>987</v>
      </c>
      <c r="D12" s="238"/>
    </row>
    <row r="13" spans="2:4" s="239" customFormat="1">
      <c r="B13" s="237" t="s">
        <v>988</v>
      </c>
      <c r="C13" s="245" t="s">
        <v>1674</v>
      </c>
      <c r="D13" s="240"/>
    </row>
    <row r="14" spans="2:4" s="239" customFormat="1">
      <c r="B14" s="237" t="s">
        <v>946</v>
      </c>
      <c r="C14" s="245" t="s">
        <v>989</v>
      </c>
      <c r="D14" s="238"/>
    </row>
    <row r="15" spans="2:4" s="239" customFormat="1">
      <c r="B15" s="237" t="s">
        <v>947</v>
      </c>
      <c r="C15" s="245" t="s">
        <v>990</v>
      </c>
      <c r="D15" s="238"/>
    </row>
    <row r="16" spans="2:4" s="239" customFormat="1">
      <c r="B16" s="237" t="s">
        <v>948</v>
      </c>
      <c r="C16" s="245" t="s">
        <v>991</v>
      </c>
      <c r="D16" s="238"/>
    </row>
    <row r="17" spans="2:4" s="239" customFormat="1">
      <c r="B17" s="237" t="s">
        <v>949</v>
      </c>
      <c r="C17" s="245" t="s">
        <v>1679</v>
      </c>
      <c r="D17" s="238"/>
    </row>
    <row r="18" spans="2:4" s="239" customFormat="1">
      <c r="B18" s="237" t="s">
        <v>950</v>
      </c>
      <c r="C18" s="245" t="s">
        <v>992</v>
      </c>
      <c r="D18" s="238"/>
    </row>
    <row r="19" spans="2:4" s="239" customFormat="1">
      <c r="B19" s="237" t="s">
        <v>1439</v>
      </c>
      <c r="C19" s="245" t="s">
        <v>993</v>
      </c>
      <c r="D19" s="238"/>
    </row>
    <row r="20" spans="2:4" s="239" customFormat="1">
      <c r="B20" s="237" t="s">
        <v>1440</v>
      </c>
      <c r="C20" s="245" t="s">
        <v>994</v>
      </c>
      <c r="D20" s="238"/>
    </row>
    <row r="21" spans="2:4" s="239" customFormat="1">
      <c r="B21" s="237" t="s">
        <v>1441</v>
      </c>
      <c r="C21" s="245" t="s">
        <v>995</v>
      </c>
      <c r="D21" s="238"/>
    </row>
    <row r="22" spans="2:4" s="239" customFormat="1">
      <c r="B22" s="237" t="s">
        <v>951</v>
      </c>
      <c r="C22" s="245" t="s">
        <v>1694</v>
      </c>
      <c r="D22" s="238"/>
    </row>
    <row r="23" spans="2:4" s="239" customFormat="1" ht="12.75" customHeight="1">
      <c r="B23" s="237" t="s">
        <v>952</v>
      </c>
      <c r="C23" s="245" t="s">
        <v>1007</v>
      </c>
      <c r="D23" s="238"/>
    </row>
    <row r="24" spans="2:4" s="239" customFormat="1">
      <c r="B24" s="237" t="s">
        <v>1442</v>
      </c>
      <c r="C24" s="245" t="s">
        <v>996</v>
      </c>
      <c r="D24" s="238"/>
    </row>
    <row r="25" spans="2:4" s="239" customFormat="1">
      <c r="B25" s="237" t="s">
        <v>1443</v>
      </c>
      <c r="C25" s="245" t="s">
        <v>1695</v>
      </c>
      <c r="D25" s="238"/>
    </row>
    <row r="26" spans="2:4" s="239" customFormat="1">
      <c r="B26" s="237" t="s">
        <v>953</v>
      </c>
      <c r="C26" s="1139" t="s">
        <v>2694</v>
      </c>
      <c r="D26" s="238"/>
    </row>
    <row r="27" spans="2:4" s="239" customFormat="1">
      <c r="B27" s="237" t="s">
        <v>954</v>
      </c>
      <c r="C27" s="1261" t="s">
        <v>2133</v>
      </c>
      <c r="D27" s="238"/>
    </row>
    <row r="28" spans="2:4" s="239" customFormat="1">
      <c r="B28" s="237" t="s">
        <v>955</v>
      </c>
      <c r="C28" s="1139" t="s">
        <v>997</v>
      </c>
      <c r="D28" s="238"/>
    </row>
    <row r="29" spans="2:4" s="239" customFormat="1">
      <c r="B29" s="237" t="s">
        <v>956</v>
      </c>
      <c r="C29" s="245" t="s">
        <v>998</v>
      </c>
      <c r="D29" s="238"/>
    </row>
    <row r="30" spans="2:4" s="239" customFormat="1">
      <c r="B30" s="237" t="s">
        <v>957</v>
      </c>
      <c r="C30" s="245" t="s">
        <v>999</v>
      </c>
      <c r="D30" s="238"/>
    </row>
    <row r="31" spans="2:4" s="239" customFormat="1">
      <c r="B31" s="237" t="s">
        <v>958</v>
      </c>
      <c r="C31" s="245" t="s">
        <v>1703</v>
      </c>
      <c r="D31" s="238"/>
    </row>
    <row r="32" spans="2:4" s="239" customFormat="1">
      <c r="B32" s="237" t="s">
        <v>959</v>
      </c>
      <c r="C32" s="245" t="s">
        <v>1000</v>
      </c>
      <c r="D32" s="238"/>
    </row>
    <row r="33" spans="2:4" s="239" customFormat="1">
      <c r="B33" s="237" t="s">
        <v>960</v>
      </c>
      <c r="C33" s="245" t="s">
        <v>1001</v>
      </c>
      <c r="D33" s="238"/>
    </row>
    <row r="34" spans="2:4" s="239" customFormat="1">
      <c r="B34" s="237" t="s">
        <v>961</v>
      </c>
      <c r="C34" s="245" t="s">
        <v>1002</v>
      </c>
      <c r="D34" s="238"/>
    </row>
    <row r="35" spans="2:4" s="239" customFormat="1">
      <c r="B35" s="237" t="s">
        <v>962</v>
      </c>
      <c r="C35" s="245" t="s">
        <v>1003</v>
      </c>
      <c r="D35" s="238"/>
    </row>
    <row r="36" spans="2:4" s="239" customFormat="1">
      <c r="B36" s="237" t="s">
        <v>963</v>
      </c>
      <c r="C36" s="245" t="s">
        <v>1702</v>
      </c>
      <c r="D36" s="238"/>
    </row>
    <row r="37" spans="2:4" s="239" customFormat="1" ht="12" customHeight="1">
      <c r="B37" s="237" t="s">
        <v>964</v>
      </c>
      <c r="C37" s="245" t="s">
        <v>1871</v>
      </c>
      <c r="D37" s="241"/>
    </row>
    <row r="38" spans="2:4">
      <c r="B38" s="237" t="s">
        <v>965</v>
      </c>
      <c r="C38" s="245" t="s">
        <v>2083</v>
      </c>
    </row>
    <row r="39" spans="2:4">
      <c r="B39" s="237" t="s">
        <v>966</v>
      </c>
      <c r="C39" s="245" t="s">
        <v>1907</v>
      </c>
    </row>
    <row r="40" spans="2:4">
      <c r="B40" s="237" t="s">
        <v>967</v>
      </c>
      <c r="C40" s="245" t="s">
        <v>1934</v>
      </c>
    </row>
    <row r="42" spans="2:4">
      <c r="C42" s="245" t="s">
        <v>1709</v>
      </c>
    </row>
  </sheetData>
  <hyperlinks>
    <hyperlink ref="C3" location="'Table IA'!A1" display="Selected Economic Indicators (Money and Banking)"/>
    <hyperlink ref="C4" location="'Table IB'!A1" display="Selected Economic Indicators ( Inflation, Production, Foreign Trade, Forex Reserves and Exchange Rate) "/>
    <hyperlink ref="C5" location="TableIIA!A1" display="Monetary Survey (M2)"/>
    <hyperlink ref="C6" location="TableIIB!A1" display="Claims on Resident Sector by the Banking System"/>
    <hyperlink ref="C7" location="'TableIIC '!A1" display="Reserve Money and its Components"/>
    <hyperlink ref="C8" location="'Table IID'!A1" display="Reserve Money and its Sources"/>
    <hyperlink ref="C9" location="'Table IIE'!A1" display="Monetary Survey (M3)  "/>
    <hyperlink ref="C10" location="'Table IIF'!A1" display="Claims on Resident Sector by Depository Corporations "/>
    <hyperlink ref="C12" location="'Table III A'!A1" display="Balance of  Payments"/>
    <hyperlink ref="C13" location="'Table IIIB'!A1" display="Foreign Direct Investment (FDI) Inflows and Stocks by Components in Bangladesh"/>
    <hyperlink ref="C14" location="'Table IV'!A1" display="Foreign Trade"/>
    <hyperlink ref="C15" location="'Table V'!A1" display="Production of Major Agricultural Commodities "/>
    <hyperlink ref="C16" location="'Table VI'!A1" display="Production of Major Industrial Commodities (Other than Jute Goods) "/>
    <hyperlink ref="C17" location="'Table VII'!A1" display="Consumer Price Index and Inflation Rate in Bangladesh"/>
    <hyperlink ref="C18" location="'Table VIII'!A1" display="Average Prices of Selected Commodities"/>
    <hyperlink ref="C19" location="TableIXA!A1" display="Gross Domestic Product of Bangladesh at Current Market Price"/>
    <hyperlink ref="C20" location="TableIXB!A1" display="Gross Domestic Product of Bangladesh at Constant Market Price "/>
    <hyperlink ref="C21" location="TableIXC!A1" display="Key Indicators of National Accounts"/>
    <hyperlink ref="C22" location="TableX!A1" display="Index Number of  Ordinary Share Prices, Turn Over, Issued Capital and Total Number of Companies Listed with the Dhaka Stock Exchange Ltd."/>
    <hyperlink ref="C23" location="TableXI!A1" display="Market Capitalisation (Value) of Ordinary Shares of Companies Listed with the Dhaka Stock Exchange Ltd."/>
    <hyperlink ref="C24" location="'Table XIIA'!A1" display="Interest Rate Structure of Government Securities/Bonds and Savings Instruments "/>
    <hyperlink ref="C25" location="'Table XIIB'!A1" display="Bank Rate and Interest Rate Structure of Post Office Savings Bank and House Building Finance Corporation and National Savings Certificates"/>
    <hyperlink ref="C26" location="TableXIII!A1" display="Bank-wise Announced Interest Rate Structure in Bangladesh (Except Islamic Banks), December 2014"/>
    <hyperlink ref="C27" location="'Table XIV'!A1" display="Profit Rate Structure of  the Islamic Banks, 2013"/>
    <hyperlink ref="C28" location="TableXV!A1" display="Rate of Interest on Non-resident Foreign Currency Deposit (NFCD) Accounts "/>
    <hyperlink ref="C29" location="TableXVI!A1" display="Monthly Average Call Money Market Rates"/>
    <hyperlink ref="C30" location="'Table XVII'!A1" display="Some Indicators of Income, Expenditure &amp; Profitability of the Banking Sector"/>
    <hyperlink ref="C31" location="'Table XVIII'!A1" display="Number of Persons Left for Abroad on Employment and Total Workers’ Remittances"/>
    <hyperlink ref="C32" location="TableXIX!A1" display="Country-wise Workers’ Remittances"/>
    <hyperlink ref="C33" location="TableXX!A1" display="Exchange Rates (Taka Per Currencies)"/>
    <hyperlink ref="C34" location="TableXXI!A1" display="Appreciation/Depreciation of Some Selected Currencies Against U.S. Dollar"/>
    <hyperlink ref="C35" location="'Table XXII'!A1" display="Some Selected Commodity Prices at International Markets"/>
    <hyperlink ref="C36" location="'Table XXIII'!A1" display="Selected Tax Revenue Receipts of the Government Under NBR and Others"/>
    <hyperlink ref="C42" location="'Appendix- Weights &amp; Measures'!A1" display="Appendix : Weights and Measures"/>
    <hyperlink ref="C11" location="'Table IIG'!A1" display="E-Banking &amp; E-Commerce Statistics"/>
    <hyperlink ref="C37" location="'Table XXIV'!A1" display="Central Bank Survey"/>
    <hyperlink ref="C38" location="'Table XXV'!A1" display="Depository Corporation Survey"/>
    <hyperlink ref="C39" location="'Table XXVI'!A1" display="Important Economic Indicators of Bangladesh with SAARC Countries"/>
    <hyperlink ref="C40" location="'Table XXVII'!A1" display="Important Economic Indicators of SAARC Countries "/>
  </hyperlinks>
  <pageMargins left="0.196850393700787" right="0.196850393700787" top="0.15748031496063" bottom="0.15748031496063" header="0" footer="0"/>
  <pageSetup paperSize="13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1"/>
  <dimension ref="A1:W56"/>
  <sheetViews>
    <sheetView topLeftCell="C1" zoomScale="170" zoomScaleNormal="170" workbookViewId="0">
      <pane ySplit="4" topLeftCell="A50" activePane="bottomLeft" state="frozen"/>
      <selection activeCell="F85" sqref="F85"/>
      <selection pane="bottomLeft" activeCell="B54" sqref="B54"/>
    </sheetView>
  </sheetViews>
  <sheetFormatPr defaultColWidth="9.140625" defaultRowHeight="11.25"/>
  <cols>
    <col min="1" max="1" width="8.28515625" style="8" customWidth="1"/>
    <col min="2" max="2" width="6.5703125" style="8" customWidth="1"/>
    <col min="3" max="3" width="6.7109375" style="8" customWidth="1"/>
    <col min="4" max="4" width="7.140625" style="8" customWidth="1"/>
    <col min="5" max="5" width="7.28515625" style="8" customWidth="1"/>
    <col min="6" max="6" width="6.7109375" style="8" customWidth="1"/>
    <col min="7" max="7" width="7" style="8" customWidth="1"/>
    <col min="8" max="9" width="6.7109375" style="8" customWidth="1"/>
    <col min="10" max="10" width="8.140625" style="8" customWidth="1"/>
    <col min="11" max="11" width="6.28515625" style="8" customWidth="1"/>
    <col min="12" max="12" width="7.7109375" style="8" customWidth="1"/>
    <col min="13" max="13" width="6.85546875" style="8" customWidth="1"/>
    <col min="14" max="14" width="6.42578125" style="8" customWidth="1"/>
    <col min="15" max="15" width="6.5703125" style="8" customWidth="1"/>
    <col min="16" max="16" width="7.28515625" style="8" customWidth="1"/>
    <col min="17" max="17" width="7" style="8" customWidth="1"/>
    <col min="18" max="18" width="6.7109375" style="8" customWidth="1"/>
    <col min="19" max="19" width="7.7109375" style="8" customWidth="1"/>
    <col min="20" max="20" width="7.140625" style="8" customWidth="1"/>
    <col min="21" max="21" width="7.42578125" style="8" customWidth="1"/>
    <col min="22" max="22" width="8.42578125" style="8" customWidth="1"/>
    <col min="23" max="16384" width="9.140625" style="8"/>
  </cols>
  <sheetData>
    <row r="1" spans="1:23" s="28" customFormat="1" ht="15.75" customHeight="1">
      <c r="A1" s="2040" t="s">
        <v>21</v>
      </c>
      <c r="B1" s="2040"/>
      <c r="C1" s="2040"/>
      <c r="D1" s="2040"/>
      <c r="E1" s="2040"/>
      <c r="F1" s="2040"/>
      <c r="G1" s="2040"/>
      <c r="H1" s="2040"/>
      <c r="I1" s="2040"/>
      <c r="J1" s="2040"/>
      <c r="K1" s="2040"/>
      <c r="L1" s="2065" t="s">
        <v>400</v>
      </c>
      <c r="M1" s="2065"/>
      <c r="N1" s="2065"/>
      <c r="O1" s="2065"/>
      <c r="P1" s="2065"/>
      <c r="Q1" s="2065"/>
      <c r="R1" s="2065"/>
      <c r="S1" s="2065"/>
      <c r="T1" s="2065"/>
      <c r="U1" s="2041" t="s">
        <v>1448</v>
      </c>
      <c r="V1" s="2041"/>
      <c r="W1" s="64"/>
    </row>
    <row r="2" spans="1:23" s="114" customFormat="1" ht="11.25" customHeight="1">
      <c r="A2" s="115"/>
      <c r="B2" s="115"/>
      <c r="E2" s="115"/>
      <c r="F2" s="115"/>
      <c r="G2" s="115"/>
      <c r="H2" s="115"/>
      <c r="I2" s="115"/>
      <c r="J2" s="2081" t="s">
        <v>165</v>
      </c>
      <c r="K2" s="2081"/>
      <c r="L2" s="117" t="s">
        <v>1632</v>
      </c>
      <c r="U2" s="2081" t="s">
        <v>25</v>
      </c>
      <c r="V2" s="2081"/>
    </row>
    <row r="3" spans="1:23" s="50" customFormat="1" ht="70.5" customHeight="1">
      <c r="A3" s="2075" t="s">
        <v>663</v>
      </c>
      <c r="B3" s="1212" t="s">
        <v>1691</v>
      </c>
      <c r="C3" s="1212" t="s">
        <v>686</v>
      </c>
      <c r="D3" s="1212" t="s">
        <v>1683</v>
      </c>
      <c r="E3" s="1212" t="s">
        <v>396</v>
      </c>
      <c r="F3" s="1212" t="s">
        <v>402</v>
      </c>
      <c r="G3" s="1212" t="s">
        <v>397</v>
      </c>
      <c r="H3" s="1212" t="s">
        <v>1692</v>
      </c>
      <c r="I3" s="1212" t="s">
        <v>1685</v>
      </c>
      <c r="J3" s="1212" t="s">
        <v>1686</v>
      </c>
      <c r="K3" s="1212" t="s">
        <v>398</v>
      </c>
      <c r="L3" s="1212" t="s">
        <v>1687</v>
      </c>
      <c r="M3" s="1212" t="s">
        <v>1688</v>
      </c>
      <c r="N3" s="1212" t="s">
        <v>399</v>
      </c>
      <c r="O3" s="1212" t="s">
        <v>1689</v>
      </c>
      <c r="P3" s="1212" t="s">
        <v>1690</v>
      </c>
      <c r="Q3" s="1212" t="s">
        <v>872</v>
      </c>
      <c r="R3" s="1212" t="s">
        <v>394</v>
      </c>
      <c r="S3" s="1212" t="s">
        <v>873</v>
      </c>
      <c r="T3" s="1212" t="s">
        <v>395</v>
      </c>
      <c r="U3" s="1215" t="s">
        <v>871</v>
      </c>
      <c r="V3" s="2075" t="s">
        <v>663</v>
      </c>
    </row>
    <row r="4" spans="1:23" s="60" customFormat="1" ht="9.75" customHeight="1">
      <c r="A4" s="2045"/>
      <c r="B4" s="801">
        <v>1</v>
      </c>
      <c r="C4" s="801">
        <v>2</v>
      </c>
      <c r="D4" s="801">
        <v>3</v>
      </c>
      <c r="E4" s="801">
        <v>4</v>
      </c>
      <c r="F4" s="801">
        <v>5</v>
      </c>
      <c r="G4" s="801">
        <v>6</v>
      </c>
      <c r="H4" s="801">
        <v>7</v>
      </c>
      <c r="I4" s="801">
        <v>8</v>
      </c>
      <c r="J4" s="801">
        <v>9</v>
      </c>
      <c r="K4" s="801">
        <v>10</v>
      </c>
      <c r="L4" s="801">
        <v>11</v>
      </c>
      <c r="M4" s="801">
        <v>12</v>
      </c>
      <c r="N4" s="801">
        <v>13</v>
      </c>
      <c r="O4" s="801">
        <v>14</v>
      </c>
      <c r="P4" s="801">
        <v>15</v>
      </c>
      <c r="Q4" s="801">
        <v>16</v>
      </c>
      <c r="R4" s="801">
        <v>17</v>
      </c>
      <c r="S4" s="801">
        <v>18</v>
      </c>
      <c r="T4" s="801">
        <v>19</v>
      </c>
      <c r="U4" s="801">
        <v>20</v>
      </c>
      <c r="V4" s="2045"/>
    </row>
    <row r="5" spans="1:23" ht="9.9499999999999993" customHeight="1">
      <c r="A5" s="1221" t="s">
        <v>734</v>
      </c>
      <c r="B5" s="280">
        <v>41627</v>
      </c>
      <c r="C5" s="280">
        <v>11986</v>
      </c>
      <c r="D5" s="280">
        <v>2493</v>
      </c>
      <c r="E5" s="280">
        <v>36480</v>
      </c>
      <c r="F5" s="324">
        <v>3529</v>
      </c>
      <c r="G5" s="280">
        <v>19719</v>
      </c>
      <c r="H5" s="280">
        <v>31687</v>
      </c>
      <c r="I5" s="280">
        <v>1527</v>
      </c>
      <c r="J5" s="280">
        <v>22292</v>
      </c>
      <c r="K5" s="1222">
        <v>3722</v>
      </c>
      <c r="L5" s="280">
        <v>19374</v>
      </c>
      <c r="M5" s="280">
        <v>5932</v>
      </c>
      <c r="N5" s="280">
        <v>5384</v>
      </c>
      <c r="O5" s="280">
        <v>5057</v>
      </c>
      <c r="P5" s="280">
        <v>17640</v>
      </c>
      <c r="Q5" s="1222">
        <f>SUM(B5:P5)</f>
        <v>228449</v>
      </c>
      <c r="R5" s="280">
        <v>8652</v>
      </c>
      <c r="S5" s="280">
        <f>Q5+R5</f>
        <v>237101</v>
      </c>
      <c r="T5" s="280">
        <v>13081</v>
      </c>
      <c r="U5" s="280">
        <f>S5+T5</f>
        <v>250182</v>
      </c>
      <c r="V5" s="446" t="s">
        <v>734</v>
      </c>
    </row>
    <row r="6" spans="1:23" ht="9.9499999999999993" customHeight="1">
      <c r="A6" s="493"/>
      <c r="B6" s="800">
        <f t="shared" ref="B6:S6" si="0">(B5/$S5)*100</f>
        <v>17.556653071897628</v>
      </c>
      <c r="C6" s="800">
        <f t="shared" si="0"/>
        <v>5.0552296278801023</v>
      </c>
      <c r="D6" s="800">
        <f t="shared" si="0"/>
        <v>1.0514506476143077</v>
      </c>
      <c r="E6" s="800">
        <f t="shared" si="0"/>
        <v>15.385848225018032</v>
      </c>
      <c r="F6" s="800">
        <f t="shared" si="0"/>
        <v>1.4883952408467278</v>
      </c>
      <c r="G6" s="800">
        <f t="shared" si="0"/>
        <v>8.3167089130792355</v>
      </c>
      <c r="H6" s="800">
        <f t="shared" si="0"/>
        <v>13.364346839532521</v>
      </c>
      <c r="I6" s="800">
        <f t="shared" si="0"/>
        <v>0.64402933770840276</v>
      </c>
      <c r="J6" s="800">
        <f t="shared" si="0"/>
        <v>9.4019004559238457</v>
      </c>
      <c r="K6" s="800">
        <f t="shared" si="0"/>
        <v>1.5697951505898331</v>
      </c>
      <c r="L6" s="800">
        <f t="shared" si="0"/>
        <v>8.1712013023985559</v>
      </c>
      <c r="M6" s="800">
        <f t="shared" si="0"/>
        <v>2.5018873813269451</v>
      </c>
      <c r="N6" s="800">
        <f t="shared" si="0"/>
        <v>2.2707622489993717</v>
      </c>
      <c r="O6" s="800">
        <f t="shared" si="0"/>
        <v>2.1328463397455093</v>
      </c>
      <c r="P6" s="800">
        <f t="shared" si="0"/>
        <v>7.4398673982817449</v>
      </c>
      <c r="Q6" s="800">
        <f t="shared" si="0"/>
        <v>96.350922180842772</v>
      </c>
      <c r="R6" s="800">
        <f t="shared" si="0"/>
        <v>3.6490778191572373</v>
      </c>
      <c r="S6" s="800">
        <f t="shared" si="0"/>
        <v>100</v>
      </c>
      <c r="T6" s="366"/>
      <c r="U6" s="366"/>
      <c r="V6" s="439"/>
    </row>
    <row r="7" spans="1:23" ht="9.9499999999999993" customHeight="1">
      <c r="A7" s="1221" t="s">
        <v>735</v>
      </c>
      <c r="B7" s="280">
        <v>43449</v>
      </c>
      <c r="C7" s="280">
        <v>12356</v>
      </c>
      <c r="D7" s="280">
        <v>2684</v>
      </c>
      <c r="E7" s="280">
        <v>39069</v>
      </c>
      <c r="F7" s="280">
        <v>3849</v>
      </c>
      <c r="G7" s="280">
        <v>21346</v>
      </c>
      <c r="H7" s="280">
        <v>33770</v>
      </c>
      <c r="I7" s="280">
        <v>1635</v>
      </c>
      <c r="J7" s="280">
        <v>23676</v>
      </c>
      <c r="K7" s="280">
        <v>3983</v>
      </c>
      <c r="L7" s="280">
        <v>20068</v>
      </c>
      <c r="M7" s="280">
        <v>6351</v>
      </c>
      <c r="N7" s="280">
        <v>5798</v>
      </c>
      <c r="O7" s="280">
        <v>5371</v>
      </c>
      <c r="P7" s="280">
        <v>18340</v>
      </c>
      <c r="Q7" s="1222">
        <f>SUM(B7:P7)</f>
        <v>241745</v>
      </c>
      <c r="R7" s="280">
        <v>10223</v>
      </c>
      <c r="S7" s="280">
        <f>Q7+R7</f>
        <v>251968</v>
      </c>
      <c r="T7" s="280">
        <v>13283</v>
      </c>
      <c r="U7" s="280">
        <f>S7+T7</f>
        <v>265251</v>
      </c>
      <c r="V7" s="446" t="s">
        <v>735</v>
      </c>
    </row>
    <row r="8" spans="1:23" ht="9.9499999999999993" customHeight="1">
      <c r="A8" s="493"/>
      <c r="B8" s="800">
        <f t="shared" ref="B8:S8" si="1">(B7/$S7)*100</f>
        <v>17.243856362712727</v>
      </c>
      <c r="C8" s="800">
        <f t="shared" si="1"/>
        <v>4.9037973075946155</v>
      </c>
      <c r="D8" s="800">
        <f t="shared" si="1"/>
        <v>1.0652146304292609</v>
      </c>
      <c r="E8" s="800">
        <f t="shared" si="1"/>
        <v>15.505540386080771</v>
      </c>
      <c r="F8" s="800">
        <f t="shared" si="1"/>
        <v>1.5275749301498605</v>
      </c>
      <c r="G8" s="800">
        <f t="shared" si="1"/>
        <v>8.4717106934213877</v>
      </c>
      <c r="H8" s="800">
        <f t="shared" si="1"/>
        <v>13.402495554991109</v>
      </c>
      <c r="I8" s="800">
        <f t="shared" si="1"/>
        <v>0.64889192278384555</v>
      </c>
      <c r="J8" s="800">
        <f t="shared" si="1"/>
        <v>9.3964312928625855</v>
      </c>
      <c r="K8" s="800">
        <f t="shared" si="1"/>
        <v>1.5807562865125728</v>
      </c>
      <c r="L8" s="800">
        <f t="shared" si="1"/>
        <v>7.9645034290068581</v>
      </c>
      <c r="M8" s="800">
        <f t="shared" si="1"/>
        <v>2.5205581661163325</v>
      </c>
      <c r="N8" s="800">
        <f t="shared" si="1"/>
        <v>2.3010858521717044</v>
      </c>
      <c r="O8" s="800">
        <f t="shared" si="1"/>
        <v>2.1316198882397766</v>
      </c>
      <c r="P8" s="800">
        <f t="shared" si="1"/>
        <v>7.2787020574041144</v>
      </c>
      <c r="Q8" s="800">
        <f t="shared" si="1"/>
        <v>95.942738760477525</v>
      </c>
      <c r="R8" s="800">
        <f t="shared" si="1"/>
        <v>4.0572612395224787</v>
      </c>
      <c r="S8" s="800">
        <f t="shared" si="1"/>
        <v>100</v>
      </c>
      <c r="T8" s="366"/>
      <c r="U8" s="366"/>
      <c r="V8" s="439"/>
    </row>
    <row r="9" spans="1:23" ht="9.9499999999999993" customHeight="1">
      <c r="A9" s="1221" t="s">
        <v>736</v>
      </c>
      <c r="B9" s="280">
        <v>44230</v>
      </c>
      <c r="C9" s="280">
        <v>12807</v>
      </c>
      <c r="D9" s="280">
        <v>2909</v>
      </c>
      <c r="E9" s="280">
        <v>42269</v>
      </c>
      <c r="F9" s="280">
        <v>4192</v>
      </c>
      <c r="G9" s="280">
        <v>23120</v>
      </c>
      <c r="H9" s="280">
        <v>36155</v>
      </c>
      <c r="I9" s="280">
        <v>1751</v>
      </c>
      <c r="J9" s="280">
        <v>25552</v>
      </c>
      <c r="K9" s="280">
        <v>4338</v>
      </c>
      <c r="L9" s="280">
        <v>20801</v>
      </c>
      <c r="M9" s="280">
        <v>6860</v>
      </c>
      <c r="N9" s="280">
        <v>6256</v>
      </c>
      <c r="O9" s="280">
        <v>5768</v>
      </c>
      <c r="P9" s="280">
        <v>19082</v>
      </c>
      <c r="Q9" s="280">
        <f>SUM(B9:P9)</f>
        <v>256090</v>
      </c>
      <c r="R9" s="280">
        <v>10884</v>
      </c>
      <c r="S9" s="280">
        <f>Q9+R9</f>
        <v>266974</v>
      </c>
      <c r="T9" s="280">
        <v>13632</v>
      </c>
      <c r="U9" s="280">
        <f>S9+T9</f>
        <v>280606</v>
      </c>
      <c r="V9" s="446" t="s">
        <v>736</v>
      </c>
    </row>
    <row r="10" spans="1:23" ht="9.9499999999999993" customHeight="1">
      <c r="A10" s="493"/>
      <c r="B10" s="800">
        <f t="shared" ref="B10:S10" si="2">(B9/$S9)*100</f>
        <v>16.567156352303968</v>
      </c>
      <c r="C10" s="800">
        <f t="shared" si="2"/>
        <v>4.7970963464607035</v>
      </c>
      <c r="D10" s="800">
        <f t="shared" si="2"/>
        <v>1.089619213856031</v>
      </c>
      <c r="E10" s="800">
        <f t="shared" si="2"/>
        <v>15.832627896349457</v>
      </c>
      <c r="F10" s="800">
        <f t="shared" si="2"/>
        <v>1.5701903556151535</v>
      </c>
      <c r="G10" s="800">
        <f t="shared" si="2"/>
        <v>8.6600193277247968</v>
      </c>
      <c r="H10" s="800">
        <f t="shared" si="2"/>
        <v>13.542517248870675</v>
      </c>
      <c r="I10" s="800">
        <f t="shared" si="2"/>
        <v>0.65586911084974564</v>
      </c>
      <c r="J10" s="800">
        <f t="shared" si="2"/>
        <v>9.5709694577000004</v>
      </c>
      <c r="K10" s="800">
        <f t="shared" si="2"/>
        <v>1.6248773288784675</v>
      </c>
      <c r="L10" s="800">
        <f t="shared" si="2"/>
        <v>7.7913954167821586</v>
      </c>
      <c r="M10" s="800">
        <f t="shared" si="2"/>
        <v>2.5695386067557142</v>
      </c>
      <c r="N10" s="800">
        <f t="shared" si="2"/>
        <v>2.3432993475020041</v>
      </c>
      <c r="O10" s="800">
        <f t="shared" si="2"/>
        <v>2.1605100122109269</v>
      </c>
      <c r="P10" s="800">
        <f t="shared" si="2"/>
        <v>7.1475124918531394</v>
      </c>
      <c r="Q10" s="800">
        <f t="shared" si="2"/>
        <v>95.923198513712947</v>
      </c>
      <c r="R10" s="800">
        <f t="shared" si="2"/>
        <v>4.0768014862870547</v>
      </c>
      <c r="S10" s="800">
        <f t="shared" si="2"/>
        <v>100</v>
      </c>
      <c r="T10" s="366"/>
      <c r="U10" s="366"/>
      <c r="V10" s="439"/>
    </row>
    <row r="11" spans="1:23" ht="9.9499999999999993" customHeight="1">
      <c r="A11" s="1223" t="s">
        <v>741</v>
      </c>
      <c r="B11" s="1222">
        <v>46545</v>
      </c>
      <c r="C11" s="1222">
        <v>13308</v>
      </c>
      <c r="D11" s="1222">
        <v>3178</v>
      </c>
      <c r="E11" s="1222">
        <v>46820</v>
      </c>
      <c r="F11" s="1222">
        <v>4513</v>
      </c>
      <c r="G11" s="1222">
        <v>25042</v>
      </c>
      <c r="H11" s="1222">
        <v>38596</v>
      </c>
      <c r="I11" s="1222">
        <v>1881</v>
      </c>
      <c r="J11" s="1222">
        <v>27592</v>
      </c>
      <c r="K11" s="1222">
        <v>4707</v>
      </c>
      <c r="L11" s="1222">
        <v>21569</v>
      </c>
      <c r="M11" s="1222">
        <v>7420</v>
      </c>
      <c r="N11" s="1222">
        <v>6822</v>
      </c>
      <c r="O11" s="1222">
        <v>6217</v>
      </c>
      <c r="P11" s="1222">
        <v>19863</v>
      </c>
      <c r="Q11" s="280">
        <f>SUM(B11:P11)</f>
        <v>274073</v>
      </c>
      <c r="R11" s="1222">
        <v>10599</v>
      </c>
      <c r="S11" s="280">
        <f>Q11+R11</f>
        <v>284672</v>
      </c>
      <c r="T11" s="1222">
        <v>18631</v>
      </c>
      <c r="U11" s="280">
        <f>S11+T11</f>
        <v>303303</v>
      </c>
      <c r="V11" s="1224" t="s">
        <v>741</v>
      </c>
    </row>
    <row r="12" spans="1:23" ht="9.9499999999999993" customHeight="1">
      <c r="A12" s="493"/>
      <c r="B12" s="800">
        <f t="shared" ref="B12:S12" si="3">(B11/$S11)*100</f>
        <v>16.3503962455036</v>
      </c>
      <c r="C12" s="800">
        <f t="shared" si="3"/>
        <v>4.6748538669064743</v>
      </c>
      <c r="D12" s="800">
        <f t="shared" si="3"/>
        <v>1.1163725269784173</v>
      </c>
      <c r="E12" s="800">
        <f t="shared" si="3"/>
        <v>16.446998651079138</v>
      </c>
      <c r="F12" s="800">
        <f t="shared" si="3"/>
        <v>1.5853332958633095</v>
      </c>
      <c r="G12" s="800">
        <f t="shared" si="3"/>
        <v>8.7967906924460433</v>
      </c>
      <c r="H12" s="800">
        <f t="shared" si="3"/>
        <v>13.558059802158272</v>
      </c>
      <c r="I12" s="800">
        <f t="shared" si="3"/>
        <v>0.66076045413669071</v>
      </c>
      <c r="J12" s="800">
        <f t="shared" si="3"/>
        <v>9.6925584532374103</v>
      </c>
      <c r="K12" s="800">
        <f t="shared" si="3"/>
        <v>1.6534819019784173</v>
      </c>
      <c r="L12" s="800">
        <f t="shared" si="3"/>
        <v>7.5767901303956826</v>
      </c>
      <c r="M12" s="800">
        <f t="shared" si="3"/>
        <v>2.6065085431654675</v>
      </c>
      <c r="N12" s="800">
        <f t="shared" si="3"/>
        <v>2.3964422212230216</v>
      </c>
      <c r="O12" s="800">
        <f t="shared" si="3"/>
        <v>2.1839169289568345</v>
      </c>
      <c r="P12" s="800">
        <f t="shared" si="3"/>
        <v>6.9775039343525176</v>
      </c>
      <c r="Q12" s="800">
        <f t="shared" si="3"/>
        <v>96.276767648381295</v>
      </c>
      <c r="R12" s="800">
        <f t="shared" si="3"/>
        <v>3.7232323516187051</v>
      </c>
      <c r="S12" s="800">
        <f t="shared" si="3"/>
        <v>100</v>
      </c>
      <c r="T12" s="366"/>
      <c r="U12" s="366"/>
      <c r="V12" s="439"/>
    </row>
    <row r="13" spans="1:23" ht="9.9499999999999993" customHeight="1">
      <c r="A13" s="479" t="s">
        <v>750</v>
      </c>
      <c r="B13" s="324">
        <v>48730</v>
      </c>
      <c r="C13" s="324">
        <v>13850</v>
      </c>
      <c r="D13" s="324">
        <v>3443</v>
      </c>
      <c r="E13" s="324">
        <v>51372</v>
      </c>
      <c r="F13" s="324">
        <v>4607</v>
      </c>
      <c r="G13" s="324">
        <v>26796</v>
      </c>
      <c r="H13" s="324">
        <v>41700</v>
      </c>
      <c r="I13" s="324">
        <v>2023</v>
      </c>
      <c r="J13" s="324">
        <v>29809</v>
      </c>
      <c r="K13" s="324">
        <v>5139</v>
      </c>
      <c r="L13" s="324">
        <v>22380</v>
      </c>
      <c r="M13" s="324">
        <v>8044</v>
      </c>
      <c r="N13" s="324">
        <v>7433</v>
      </c>
      <c r="O13" s="324">
        <v>6693</v>
      </c>
      <c r="P13" s="324">
        <v>20773</v>
      </c>
      <c r="Q13" s="280">
        <f>SUM(B13:P13)</f>
        <v>292792</v>
      </c>
      <c r="R13" s="324">
        <v>10179</v>
      </c>
      <c r="S13" s="280">
        <f>Q13+R13</f>
        <v>302971</v>
      </c>
      <c r="T13" s="324">
        <v>22620</v>
      </c>
      <c r="U13" s="280">
        <f>S13+T13</f>
        <v>325591</v>
      </c>
      <c r="V13" s="474" t="s">
        <v>750</v>
      </c>
    </row>
    <row r="14" spans="1:23" ht="9.9499999999999993" customHeight="1">
      <c r="A14" s="493"/>
      <c r="B14" s="800">
        <f t="shared" ref="B14:S14" si="4">(B13/$S13)*100</f>
        <v>16.084047648124738</v>
      </c>
      <c r="C14" s="800">
        <f t="shared" si="4"/>
        <v>4.571394621927511</v>
      </c>
      <c r="D14" s="800">
        <f t="shared" si="4"/>
        <v>1.1364123959058787</v>
      </c>
      <c r="E14" s="800">
        <f t="shared" si="4"/>
        <v>16.956078304524194</v>
      </c>
      <c r="F14" s="800">
        <f t="shared" si="4"/>
        <v>1.5206075829039742</v>
      </c>
      <c r="G14" s="800">
        <f t="shared" si="4"/>
        <v>8.8444108512035804</v>
      </c>
      <c r="H14" s="800">
        <f t="shared" si="4"/>
        <v>13.763693554828679</v>
      </c>
      <c r="I14" s="800">
        <f t="shared" si="4"/>
        <v>0.66772067293569348</v>
      </c>
      <c r="J14" s="800">
        <f t="shared" si="4"/>
        <v>9.8388954718438395</v>
      </c>
      <c r="K14" s="800">
        <f t="shared" si="4"/>
        <v>1.6962019467209735</v>
      </c>
      <c r="L14" s="800">
        <f t="shared" si="4"/>
        <v>7.3868456056850329</v>
      </c>
      <c r="M14" s="800">
        <f t="shared" si="4"/>
        <v>2.6550395912480074</v>
      </c>
      <c r="N14" s="800">
        <f t="shared" si="4"/>
        <v>2.4533701245333712</v>
      </c>
      <c r="O14" s="800">
        <f t="shared" si="4"/>
        <v>2.2091223252390493</v>
      </c>
      <c r="P14" s="800">
        <f t="shared" si="4"/>
        <v>6.856431803703984</v>
      </c>
      <c r="Q14" s="800">
        <f t="shared" si="4"/>
        <v>96.640272501328511</v>
      </c>
      <c r="R14" s="800">
        <f t="shared" si="4"/>
        <v>3.3597274986714902</v>
      </c>
      <c r="S14" s="800">
        <f t="shared" si="4"/>
        <v>100</v>
      </c>
      <c r="T14" s="366"/>
      <c r="U14" s="366"/>
      <c r="V14" s="439"/>
    </row>
    <row r="15" spans="1:23" ht="9.9499999999999993" customHeight="1">
      <c r="A15" s="1221" t="s">
        <v>490</v>
      </c>
      <c r="B15" s="591">
        <v>50157</v>
      </c>
      <c r="C15" s="591">
        <v>14429</v>
      </c>
      <c r="D15" s="591">
        <v>3751</v>
      </c>
      <c r="E15" s="591">
        <v>55077</v>
      </c>
      <c r="F15" s="591">
        <v>4919</v>
      </c>
      <c r="G15" s="591">
        <v>28318</v>
      </c>
      <c r="H15" s="591">
        <v>44543</v>
      </c>
      <c r="I15" s="591">
        <v>2176</v>
      </c>
      <c r="J15" s="591">
        <v>32357</v>
      </c>
      <c r="K15" s="591">
        <v>5596</v>
      </c>
      <c r="L15" s="591">
        <v>23221</v>
      </c>
      <c r="M15" s="591">
        <v>8543</v>
      </c>
      <c r="N15" s="591">
        <v>8013</v>
      </c>
      <c r="O15" s="591">
        <v>7163</v>
      </c>
      <c r="P15" s="591">
        <v>21731</v>
      </c>
      <c r="Q15" s="280">
        <f>SUM(B15:P15)</f>
        <v>309994</v>
      </c>
      <c r="R15" s="591">
        <v>11732</v>
      </c>
      <c r="S15" s="280">
        <f>Q15+R15</f>
        <v>321726</v>
      </c>
      <c r="T15" s="591">
        <v>28522</v>
      </c>
      <c r="U15" s="280">
        <f>S15+T15</f>
        <v>350248</v>
      </c>
      <c r="V15" s="446" t="s">
        <v>490</v>
      </c>
    </row>
    <row r="16" spans="1:23" ht="9.9499999999999993" customHeight="1">
      <c r="A16" s="493"/>
      <c r="B16" s="800">
        <f t="shared" ref="B16:S16" si="5">(B15/$S15)*100</f>
        <v>15.589974077320454</v>
      </c>
      <c r="C16" s="800">
        <f t="shared" si="5"/>
        <v>4.4848722204608897</v>
      </c>
      <c r="D16" s="800">
        <f t="shared" si="5"/>
        <v>1.1658989326321156</v>
      </c>
      <c r="E16" s="800">
        <f t="shared" si="5"/>
        <v>17.119225676507337</v>
      </c>
      <c r="F16" s="800">
        <f t="shared" si="5"/>
        <v>1.528940775691116</v>
      </c>
      <c r="G16" s="800">
        <f t="shared" si="5"/>
        <v>8.8018997532061434</v>
      </c>
      <c r="H16" s="800">
        <f t="shared" si="5"/>
        <v>13.845010972069401</v>
      </c>
      <c r="I16" s="800">
        <f t="shared" si="5"/>
        <v>0.67635192679485023</v>
      </c>
      <c r="J16" s="800">
        <f t="shared" si="5"/>
        <v>10.057315852619931</v>
      </c>
      <c r="K16" s="800">
        <f t="shared" si="5"/>
        <v>1.7393682823271976</v>
      </c>
      <c r="L16" s="800">
        <f t="shared" si="5"/>
        <v>7.2176323952680228</v>
      </c>
      <c r="M16" s="800">
        <f t="shared" si="5"/>
        <v>2.6553651243604808</v>
      </c>
      <c r="N16" s="800">
        <f t="shared" si="5"/>
        <v>2.4906286716025439</v>
      </c>
      <c r="O16" s="800">
        <f t="shared" si="5"/>
        <v>2.2264287001983054</v>
      </c>
      <c r="P16" s="800">
        <f t="shared" si="5"/>
        <v>6.7545053865711813</v>
      </c>
      <c r="Q16" s="800">
        <f t="shared" si="5"/>
        <v>96.353418747629973</v>
      </c>
      <c r="R16" s="800">
        <f t="shared" si="5"/>
        <v>3.6465812523700292</v>
      </c>
      <c r="S16" s="800">
        <f t="shared" si="5"/>
        <v>100</v>
      </c>
      <c r="T16" s="366"/>
      <c r="U16" s="366"/>
      <c r="V16" s="439"/>
    </row>
    <row r="17" spans="1:22" ht="9.9499999999999993" customHeight="1">
      <c r="A17" s="1221" t="s">
        <v>87</v>
      </c>
      <c r="B17" s="758">
        <v>52215</v>
      </c>
      <c r="C17" s="758">
        <v>15029</v>
      </c>
      <c r="D17" s="758">
        <v>4120</v>
      </c>
      <c r="E17" s="758">
        <v>58754</v>
      </c>
      <c r="F17" s="758">
        <v>5210</v>
      </c>
      <c r="G17" s="758">
        <v>29931</v>
      </c>
      <c r="H17" s="758">
        <v>47309</v>
      </c>
      <c r="I17" s="758">
        <v>2341</v>
      </c>
      <c r="J17" s="758">
        <v>34949</v>
      </c>
      <c r="K17" s="758">
        <v>6099</v>
      </c>
      <c r="L17" s="758">
        <v>24106</v>
      </c>
      <c r="M17" s="758">
        <v>9142</v>
      </c>
      <c r="N17" s="758">
        <v>8658</v>
      </c>
      <c r="O17" s="758">
        <v>7678</v>
      </c>
      <c r="P17" s="758">
        <v>22753</v>
      </c>
      <c r="Q17" s="280">
        <f>SUM(B17:P17)</f>
        <v>328294</v>
      </c>
      <c r="R17" s="591">
        <v>11903</v>
      </c>
      <c r="S17" s="280">
        <f>Q17+R17</f>
        <v>340197</v>
      </c>
      <c r="T17" s="280">
        <v>30933</v>
      </c>
      <c r="U17" s="280">
        <f>S17+T17</f>
        <v>371130</v>
      </c>
      <c r="V17" s="446" t="s">
        <v>87</v>
      </c>
    </row>
    <row r="18" spans="1:22" ht="9.9499999999999993" customHeight="1">
      <c r="A18" s="493"/>
      <c r="B18" s="800">
        <f t="shared" ref="B18:S18" si="6">(B17/$S17)*100</f>
        <v>15.348459862961755</v>
      </c>
      <c r="C18" s="800">
        <f t="shared" si="6"/>
        <v>4.4177344303447708</v>
      </c>
      <c r="D18" s="800">
        <f t="shared" si="6"/>
        <v>1.21106300173135</v>
      </c>
      <c r="E18" s="800">
        <f t="shared" si="6"/>
        <v>17.270581457214497</v>
      </c>
      <c r="F18" s="800">
        <f t="shared" si="6"/>
        <v>1.5314655919952265</v>
      </c>
      <c r="G18" s="800">
        <f t="shared" si="6"/>
        <v>8.798137549713843</v>
      </c>
      <c r="H18" s="800">
        <f t="shared" si="6"/>
        <v>13.906354259443793</v>
      </c>
      <c r="I18" s="800">
        <f t="shared" si="6"/>
        <v>0.68813070074104121</v>
      </c>
      <c r="J18" s="800">
        <f t="shared" si="6"/>
        <v>10.273165254249744</v>
      </c>
      <c r="K18" s="800">
        <f t="shared" si="6"/>
        <v>1.7927847688251219</v>
      </c>
      <c r="L18" s="800">
        <f t="shared" si="6"/>
        <v>7.0858943494504656</v>
      </c>
      <c r="M18" s="800">
        <f t="shared" si="6"/>
        <v>2.6872664955893204</v>
      </c>
      <c r="N18" s="800">
        <f t="shared" si="6"/>
        <v>2.5449959876189387</v>
      </c>
      <c r="O18" s="800">
        <f t="shared" si="6"/>
        <v>2.2569276037119668</v>
      </c>
      <c r="P18" s="800">
        <f t="shared" si="6"/>
        <v>6.6881836112605342</v>
      </c>
      <c r="Q18" s="800">
        <f t="shared" si="6"/>
        <v>96.501144924852369</v>
      </c>
      <c r="R18" s="800">
        <f t="shared" si="6"/>
        <v>3.4988550751476355</v>
      </c>
      <c r="S18" s="800">
        <f t="shared" si="6"/>
        <v>100</v>
      </c>
      <c r="T18" s="366"/>
      <c r="U18" s="366"/>
      <c r="V18" s="439"/>
    </row>
    <row r="19" spans="1:22" ht="9.9499999999999993" customHeight="1">
      <c r="A19" s="1221" t="s">
        <v>83</v>
      </c>
      <c r="B19" s="758">
        <v>55117</v>
      </c>
      <c r="C19" s="758">
        <v>15652</v>
      </c>
      <c r="D19" s="758">
        <v>4482</v>
      </c>
      <c r="E19" s="758">
        <v>62571</v>
      </c>
      <c r="F19" s="758">
        <v>5589</v>
      </c>
      <c r="G19" s="758">
        <v>31730</v>
      </c>
      <c r="H19" s="758">
        <v>50088</v>
      </c>
      <c r="I19" s="758">
        <v>2519</v>
      </c>
      <c r="J19" s="758">
        <v>37637</v>
      </c>
      <c r="K19" s="758">
        <v>6809</v>
      </c>
      <c r="L19" s="758">
        <v>25045</v>
      </c>
      <c r="M19" s="758">
        <v>9906</v>
      </c>
      <c r="N19" s="758">
        <v>9458</v>
      </c>
      <c r="O19" s="758">
        <v>8300</v>
      </c>
      <c r="P19" s="758">
        <v>23826</v>
      </c>
      <c r="Q19" s="280">
        <f>SUM(B19:P19)</f>
        <v>348729</v>
      </c>
      <c r="R19" s="591">
        <v>12116</v>
      </c>
      <c r="S19" s="280">
        <f>Q19+R19</f>
        <v>360845</v>
      </c>
      <c r="T19" s="280">
        <v>33575</v>
      </c>
      <c r="U19" s="280">
        <f>S19+T19</f>
        <v>394420</v>
      </c>
      <c r="V19" s="446" t="s">
        <v>83</v>
      </c>
    </row>
    <row r="20" spans="1:22" ht="9.9499999999999993" customHeight="1">
      <c r="A20" s="366"/>
      <c r="B20" s="800">
        <f t="shared" ref="B20:S20" si="7">(B19/$S19)*100</f>
        <v>15.274425307264892</v>
      </c>
      <c r="C20" s="800">
        <f t="shared" si="7"/>
        <v>4.3375964749407645</v>
      </c>
      <c r="D20" s="800">
        <f t="shared" si="7"/>
        <v>1.2420845515387493</v>
      </c>
      <c r="E20" s="800">
        <f t="shared" si="7"/>
        <v>17.340132189721349</v>
      </c>
      <c r="F20" s="800">
        <f t="shared" si="7"/>
        <v>1.5488644708947055</v>
      </c>
      <c r="G20" s="800">
        <f t="shared" si="7"/>
        <v>8.7932491790103793</v>
      </c>
      <c r="H20" s="800">
        <f t="shared" si="7"/>
        <v>13.880752123487925</v>
      </c>
      <c r="I20" s="800">
        <f t="shared" si="7"/>
        <v>0.69808366473139438</v>
      </c>
      <c r="J20" s="800">
        <f t="shared" si="7"/>
        <v>10.430240130804085</v>
      </c>
      <c r="K20" s="800">
        <f t="shared" si="7"/>
        <v>1.8869597749726339</v>
      </c>
      <c r="L20" s="800">
        <f t="shared" si="7"/>
        <v>6.9406531890423864</v>
      </c>
      <c r="M20" s="800">
        <f t="shared" si="7"/>
        <v>2.7452230181934074</v>
      </c>
      <c r="N20" s="800">
        <f t="shared" si="7"/>
        <v>2.621069988499217</v>
      </c>
      <c r="O20" s="800">
        <f t="shared" si="7"/>
        <v>2.3001565769236101</v>
      </c>
      <c r="P20" s="800">
        <f t="shared" si="7"/>
        <v>6.6028350122628821</v>
      </c>
      <c r="Q20" s="800">
        <f t="shared" si="7"/>
        <v>96.642325652288378</v>
      </c>
      <c r="R20" s="800">
        <f t="shared" si="7"/>
        <v>3.3576743477116215</v>
      </c>
      <c r="S20" s="800">
        <f t="shared" si="7"/>
        <v>100</v>
      </c>
      <c r="T20" s="366"/>
      <c r="U20" s="366"/>
      <c r="V20" s="366"/>
    </row>
    <row r="21" spans="1:22" ht="9.9499999999999993" customHeight="1">
      <c r="A21" s="1221" t="s">
        <v>225</v>
      </c>
      <c r="B21" s="753">
        <v>57923</v>
      </c>
      <c r="C21" s="753">
        <v>16474</v>
      </c>
      <c r="D21" s="753">
        <v>4698</v>
      </c>
      <c r="E21" s="753">
        <v>68482</v>
      </c>
      <c r="F21" s="753">
        <v>5960</v>
      </c>
      <c r="G21" s="753">
        <v>33795</v>
      </c>
      <c r="H21" s="753">
        <v>53249</v>
      </c>
      <c r="I21" s="753">
        <v>2709</v>
      </c>
      <c r="J21" s="753">
        <v>39778</v>
      </c>
      <c r="K21" s="753">
        <v>7466</v>
      </c>
      <c r="L21" s="753">
        <v>26037</v>
      </c>
      <c r="M21" s="753">
        <v>10864</v>
      </c>
      <c r="N21" s="753">
        <v>10343</v>
      </c>
      <c r="O21" s="753">
        <v>8993</v>
      </c>
      <c r="P21" s="753">
        <v>24947</v>
      </c>
      <c r="Q21" s="280">
        <f>SUM(B21:P21)</f>
        <v>371718</v>
      </c>
      <c r="R21" s="753">
        <v>13332</v>
      </c>
      <c r="S21" s="280">
        <f>Q21+R21</f>
        <v>385050</v>
      </c>
      <c r="T21" s="280">
        <v>35046</v>
      </c>
      <c r="U21" s="280">
        <f>S21+T21</f>
        <v>420096</v>
      </c>
      <c r="V21" s="446" t="s">
        <v>225</v>
      </c>
    </row>
    <row r="22" spans="1:22" ht="9.9499999999999993" customHeight="1">
      <c r="A22" s="366"/>
      <c r="B22" s="800">
        <f t="shared" ref="B22:S22" si="8">(B21/$S21)*100</f>
        <v>15.042981430982987</v>
      </c>
      <c r="C22" s="800">
        <f t="shared" si="8"/>
        <v>4.2784054018958582</v>
      </c>
      <c r="D22" s="800">
        <f t="shared" si="8"/>
        <v>1.2201012855473314</v>
      </c>
      <c r="E22" s="800">
        <f t="shared" si="8"/>
        <v>17.785222698350864</v>
      </c>
      <c r="F22" s="800">
        <f t="shared" si="8"/>
        <v>1.5478509284508506</v>
      </c>
      <c r="G22" s="800">
        <f t="shared" si="8"/>
        <v>8.7767822360732364</v>
      </c>
      <c r="H22" s="800">
        <f t="shared" si="8"/>
        <v>13.829113102194521</v>
      </c>
      <c r="I22" s="800">
        <f t="shared" si="8"/>
        <v>0.70354499415660299</v>
      </c>
      <c r="J22" s="800">
        <f t="shared" si="8"/>
        <v>10.330606414751331</v>
      </c>
      <c r="K22" s="800">
        <f t="shared" si="8"/>
        <v>1.9389689650694715</v>
      </c>
      <c r="L22" s="800">
        <f t="shared" si="8"/>
        <v>6.7619789637709387</v>
      </c>
      <c r="M22" s="800">
        <f t="shared" si="8"/>
        <v>2.8214517595117514</v>
      </c>
      <c r="N22" s="800">
        <f t="shared" si="8"/>
        <v>2.686144656538112</v>
      </c>
      <c r="O22" s="800">
        <f t="shared" si="8"/>
        <v>2.3355408388520971</v>
      </c>
      <c r="P22" s="800">
        <f t="shared" si="8"/>
        <v>6.4788988443059345</v>
      </c>
      <c r="Q22" s="800">
        <f t="shared" si="8"/>
        <v>96.537592520451881</v>
      </c>
      <c r="R22" s="800">
        <f t="shared" si="8"/>
        <v>3.4624074795481108</v>
      </c>
      <c r="S22" s="800">
        <f t="shared" si="8"/>
        <v>100</v>
      </c>
      <c r="T22" s="366"/>
      <c r="U22" s="366"/>
      <c r="V22" s="366"/>
    </row>
    <row r="23" spans="1:22" s="213" customFormat="1" ht="9.9499999999999993" customHeight="1">
      <c r="A23" s="479" t="s">
        <v>972</v>
      </c>
      <c r="B23" s="1225">
        <v>59348</v>
      </c>
      <c r="C23" s="748">
        <v>17362</v>
      </c>
      <c r="D23" s="748">
        <v>5063</v>
      </c>
      <c r="E23" s="748">
        <v>74897</v>
      </c>
      <c r="F23" s="748">
        <v>6677</v>
      </c>
      <c r="G23" s="748">
        <v>36352</v>
      </c>
      <c r="H23" s="748">
        <v>56248</v>
      </c>
      <c r="I23" s="748">
        <v>2914</v>
      </c>
      <c r="J23" s="748">
        <v>42412</v>
      </c>
      <c r="K23" s="748">
        <v>8290</v>
      </c>
      <c r="L23" s="748">
        <v>27091</v>
      </c>
      <c r="M23" s="748">
        <v>11496</v>
      </c>
      <c r="N23" s="748">
        <v>11088</v>
      </c>
      <c r="O23" s="748">
        <v>9705</v>
      </c>
      <c r="P23" s="748">
        <v>26135</v>
      </c>
      <c r="Q23" s="477">
        <f>SUM(B23:P23)</f>
        <v>395078</v>
      </c>
      <c r="R23" s="748">
        <v>13975</v>
      </c>
      <c r="S23" s="324">
        <f>Q23+R23</f>
        <v>409053</v>
      </c>
      <c r="T23" s="748">
        <v>39786</v>
      </c>
      <c r="U23" s="324">
        <f>S23+T23</f>
        <v>448839</v>
      </c>
      <c r="V23" s="474" t="s">
        <v>972</v>
      </c>
    </row>
    <row r="24" spans="1:22" s="9" customFormat="1" ht="9.9499999999999993" customHeight="1">
      <c r="A24" s="366"/>
      <c r="B24" s="800">
        <f t="shared" ref="B24:S24" si="9">(B23/$S23)*100</f>
        <v>14.508633355579839</v>
      </c>
      <c r="C24" s="800">
        <f t="shared" si="9"/>
        <v>4.2444377623437548</v>
      </c>
      <c r="D24" s="800">
        <f t="shared" si="9"/>
        <v>1.2377369191767325</v>
      </c>
      <c r="E24" s="800">
        <f t="shared" si="9"/>
        <v>18.309852268532438</v>
      </c>
      <c r="F24" s="800">
        <f t="shared" si="9"/>
        <v>1.6323068159871703</v>
      </c>
      <c r="G24" s="800">
        <f t="shared" si="9"/>
        <v>8.8868679608754864</v>
      </c>
      <c r="H24" s="800">
        <f t="shared" si="9"/>
        <v>13.750785350553596</v>
      </c>
      <c r="I24" s="800">
        <f t="shared" si="9"/>
        <v>0.71237712472466896</v>
      </c>
      <c r="J24" s="800">
        <f t="shared" si="9"/>
        <v>10.368338577152594</v>
      </c>
      <c r="K24" s="800">
        <f t="shared" si="9"/>
        <v>2.0266322456992123</v>
      </c>
      <c r="L24" s="800">
        <f t="shared" si="9"/>
        <v>6.6228581626341825</v>
      </c>
      <c r="M24" s="800">
        <f t="shared" si="9"/>
        <v>2.8103937631553855</v>
      </c>
      <c r="N24" s="800">
        <f t="shared" si="9"/>
        <v>2.7106511870099963</v>
      </c>
      <c r="O24" s="800">
        <f t="shared" si="9"/>
        <v>2.3725531899289334</v>
      </c>
      <c r="P24" s="800">
        <f t="shared" si="9"/>
        <v>6.3891476165680237</v>
      </c>
      <c r="Q24" s="800">
        <f t="shared" si="9"/>
        <v>96.583572299922011</v>
      </c>
      <c r="R24" s="800">
        <f t="shared" si="9"/>
        <v>3.416427700077985</v>
      </c>
      <c r="S24" s="800">
        <f t="shared" si="9"/>
        <v>100</v>
      </c>
      <c r="T24" s="366"/>
      <c r="U24" s="366"/>
      <c r="V24" s="366"/>
    </row>
    <row r="25" spans="1:22" s="213" customFormat="1" ht="9.9499999999999993" customHeight="1">
      <c r="A25" s="322" t="s">
        <v>1523</v>
      </c>
      <c r="B25" s="1225">
        <v>70171</v>
      </c>
      <c r="C25" s="748">
        <v>16814</v>
      </c>
      <c r="D25" s="748">
        <v>7009</v>
      </c>
      <c r="E25" s="748">
        <v>73834</v>
      </c>
      <c r="F25" s="748">
        <v>5553</v>
      </c>
      <c r="G25" s="748">
        <v>29825</v>
      </c>
      <c r="H25" s="748">
        <v>62352</v>
      </c>
      <c r="I25" s="748">
        <v>3467</v>
      </c>
      <c r="J25" s="748">
        <v>46497</v>
      </c>
      <c r="K25" s="748">
        <v>14216</v>
      </c>
      <c r="L25" s="748">
        <v>37935</v>
      </c>
      <c r="M25" s="748">
        <v>14089</v>
      </c>
      <c r="N25" s="748">
        <v>9962</v>
      </c>
      <c r="O25" s="748">
        <v>9288</v>
      </c>
      <c r="P25" s="748">
        <v>56600</v>
      </c>
      <c r="Q25" s="477">
        <f>SUM(B25:P25)</f>
        <v>457612</v>
      </c>
      <c r="R25" s="748">
        <v>24725</v>
      </c>
      <c r="S25" s="324">
        <f>Q25+R25</f>
        <v>482337</v>
      </c>
      <c r="T25" s="748">
        <v>27208</v>
      </c>
      <c r="U25" s="324">
        <f>S25+T25</f>
        <v>509545</v>
      </c>
      <c r="V25" s="474" t="s">
        <v>1523</v>
      </c>
    </row>
    <row r="26" spans="1:22" ht="9.9499999999999993" customHeight="1">
      <c r="A26" s="399"/>
      <c r="B26" s="800">
        <f t="shared" ref="B26:S26" si="10">(B25/$S25)*100</f>
        <v>14.548127139323752</v>
      </c>
      <c r="C26" s="800">
        <f t="shared" si="10"/>
        <v>3.4859444745064136</v>
      </c>
      <c r="D26" s="800">
        <f t="shared" si="10"/>
        <v>1.4531333901400889</v>
      </c>
      <c r="E26" s="800">
        <f t="shared" si="10"/>
        <v>15.307554676502114</v>
      </c>
      <c r="F26" s="800">
        <f t="shared" si="10"/>
        <v>1.151269755378501</v>
      </c>
      <c r="G26" s="800">
        <f t="shared" si="10"/>
        <v>6.1834360623381581</v>
      </c>
      <c r="H26" s="800">
        <f t="shared" si="10"/>
        <v>12.927061369955032</v>
      </c>
      <c r="I26" s="800">
        <f t="shared" si="10"/>
        <v>0.71879204788353368</v>
      </c>
      <c r="J26" s="800">
        <f t="shared" si="10"/>
        <v>9.6399405394983173</v>
      </c>
      <c r="K26" s="800">
        <f t="shared" si="10"/>
        <v>2.9473169174249541</v>
      </c>
      <c r="L26" s="800">
        <f t="shared" si="10"/>
        <v>7.8648330938741999</v>
      </c>
      <c r="M26" s="800">
        <f t="shared" si="10"/>
        <v>2.9209867789533042</v>
      </c>
      <c r="N26" s="800">
        <f t="shared" si="10"/>
        <v>2.0653609405871829</v>
      </c>
      <c r="O26" s="800">
        <f t="shared" si="10"/>
        <v>1.9256246151549643</v>
      </c>
      <c r="P26" s="800">
        <f t="shared" si="10"/>
        <v>11.734534153506781</v>
      </c>
      <c r="Q26" s="800">
        <f t="shared" si="10"/>
        <v>94.8739159550273</v>
      </c>
      <c r="R26" s="800">
        <f t="shared" si="10"/>
        <v>5.1260840449727052</v>
      </c>
      <c r="S26" s="800">
        <f t="shared" si="10"/>
        <v>100</v>
      </c>
      <c r="T26" s="366"/>
      <c r="U26" s="366"/>
      <c r="V26" s="439"/>
    </row>
    <row r="27" spans="1:22" ht="9.9499999999999993" customHeight="1">
      <c r="A27" s="322" t="s">
        <v>750</v>
      </c>
      <c r="B27" s="1225">
        <v>74410</v>
      </c>
      <c r="C27" s="748">
        <v>18397</v>
      </c>
      <c r="D27" s="748">
        <v>7433</v>
      </c>
      <c r="E27" s="748">
        <v>81612</v>
      </c>
      <c r="F27" s="748">
        <v>5831</v>
      </c>
      <c r="G27" s="748">
        <v>31836</v>
      </c>
      <c r="H27" s="748">
        <v>67571</v>
      </c>
      <c r="I27" s="748">
        <v>3659</v>
      </c>
      <c r="J27" s="748">
        <v>50878</v>
      </c>
      <c r="K27" s="748">
        <v>15139</v>
      </c>
      <c r="L27" s="748">
        <v>39382</v>
      </c>
      <c r="M27" s="748">
        <v>15293</v>
      </c>
      <c r="N27" s="748">
        <v>10835</v>
      </c>
      <c r="O27" s="748">
        <v>9749</v>
      </c>
      <c r="P27" s="748">
        <v>58399</v>
      </c>
      <c r="Q27" s="477">
        <f>SUM(B27:P27)</f>
        <v>490424</v>
      </c>
      <c r="R27" s="748">
        <v>25959</v>
      </c>
      <c r="S27" s="324">
        <f>Q27+R27</f>
        <v>516383</v>
      </c>
      <c r="T27" s="748">
        <v>33121</v>
      </c>
      <c r="U27" s="324">
        <f>S27+T27</f>
        <v>549504</v>
      </c>
      <c r="V27" s="474" t="s">
        <v>750</v>
      </c>
    </row>
    <row r="28" spans="1:22" ht="9.9499999999999993" customHeight="1">
      <c r="A28" s="399"/>
      <c r="B28" s="800">
        <f t="shared" ref="B28:S28" si="11">(B27/$S27)*100</f>
        <v>14.409846954682862</v>
      </c>
      <c r="C28" s="800">
        <f t="shared" si="11"/>
        <v>3.562665695811055</v>
      </c>
      <c r="D28" s="800">
        <f t="shared" si="11"/>
        <v>1.4394354577900512</v>
      </c>
      <c r="E28" s="800">
        <f t="shared" si="11"/>
        <v>15.804548174513878</v>
      </c>
      <c r="F28" s="800">
        <f t="shared" si="11"/>
        <v>1.1292006127235017</v>
      </c>
      <c r="G28" s="800">
        <f t="shared" si="11"/>
        <v>6.1651913405359977</v>
      </c>
      <c r="H28" s="800">
        <f t="shared" si="11"/>
        <v>13.085442394501756</v>
      </c>
      <c r="I28" s="800">
        <f t="shared" si="11"/>
        <v>0.70858258308271183</v>
      </c>
      <c r="J28" s="800">
        <f t="shared" si="11"/>
        <v>9.8527643241547462</v>
      </c>
      <c r="K28" s="800">
        <f t="shared" si="11"/>
        <v>2.9317386513498702</v>
      </c>
      <c r="L28" s="800">
        <f t="shared" si="11"/>
        <v>7.6265097805311166</v>
      </c>
      <c r="M28" s="800">
        <f t="shared" si="11"/>
        <v>2.9615614766558931</v>
      </c>
      <c r="N28" s="800">
        <f t="shared" si="11"/>
        <v>2.0982487804594654</v>
      </c>
      <c r="O28" s="800">
        <f t="shared" si="11"/>
        <v>1.8879397656390702</v>
      </c>
      <c r="P28" s="800">
        <f t="shared" si="11"/>
        <v>11.309241396405382</v>
      </c>
      <c r="Q28" s="800">
        <f t="shared" si="11"/>
        <v>94.972917388837345</v>
      </c>
      <c r="R28" s="800">
        <f t="shared" si="11"/>
        <v>5.027082611162645</v>
      </c>
      <c r="S28" s="800">
        <f t="shared" si="11"/>
        <v>100</v>
      </c>
      <c r="T28" s="366"/>
      <c r="U28" s="366"/>
      <c r="V28" s="439"/>
    </row>
    <row r="29" spans="1:22" ht="9.9499999999999993" customHeight="1">
      <c r="A29" s="322" t="s">
        <v>490</v>
      </c>
      <c r="B29" s="1225">
        <v>77292</v>
      </c>
      <c r="C29" s="748">
        <v>19685</v>
      </c>
      <c r="D29" s="748">
        <v>8003</v>
      </c>
      <c r="E29" s="748">
        <v>87596</v>
      </c>
      <c r="F29" s="748">
        <v>6284</v>
      </c>
      <c r="G29" s="748">
        <v>33742</v>
      </c>
      <c r="H29" s="748">
        <v>72481</v>
      </c>
      <c r="I29" s="748">
        <v>3866</v>
      </c>
      <c r="J29" s="748">
        <v>55079</v>
      </c>
      <c r="K29" s="748">
        <v>15733</v>
      </c>
      <c r="L29" s="748">
        <v>40877</v>
      </c>
      <c r="M29" s="748">
        <v>16289</v>
      </c>
      <c r="N29" s="748">
        <v>11609</v>
      </c>
      <c r="O29" s="748">
        <v>10321</v>
      </c>
      <c r="P29" s="748">
        <v>60261</v>
      </c>
      <c r="Q29" s="477">
        <f>SUM(B29:P29)</f>
        <v>519118</v>
      </c>
      <c r="R29" s="748">
        <v>28319</v>
      </c>
      <c r="S29" s="324">
        <f>Q29+R29</f>
        <v>547437</v>
      </c>
      <c r="T29" s="748">
        <v>42109</v>
      </c>
      <c r="U29" s="324">
        <f>S29+T29</f>
        <v>589546</v>
      </c>
      <c r="V29" s="474" t="s">
        <v>490</v>
      </c>
    </row>
    <row r="30" spans="1:22" ht="9.9499999999999993" customHeight="1">
      <c r="A30" s="399"/>
      <c r="B30" s="800">
        <f t="shared" ref="B30:S30" si="12">(B29/$S29)*100</f>
        <v>14.118884912784486</v>
      </c>
      <c r="C30" s="800">
        <f t="shared" si="12"/>
        <v>3.5958475587145191</v>
      </c>
      <c r="D30" s="800">
        <f t="shared" si="12"/>
        <v>1.4619033788362861</v>
      </c>
      <c r="E30" s="800">
        <f t="shared" si="12"/>
        <v>16.001110630081637</v>
      </c>
      <c r="F30" s="800">
        <f t="shared" si="12"/>
        <v>1.1478946435845585</v>
      </c>
      <c r="G30" s="800">
        <f t="shared" si="12"/>
        <v>6.1636316142314094</v>
      </c>
      <c r="H30" s="800">
        <f t="shared" si="12"/>
        <v>13.240062326806553</v>
      </c>
      <c r="I30" s="800">
        <f t="shared" si="12"/>
        <v>0.70619998282907448</v>
      </c>
      <c r="J30" s="800">
        <f t="shared" si="12"/>
        <v>10.061249056969112</v>
      </c>
      <c r="K30" s="800">
        <f t="shared" si="12"/>
        <v>2.8739380056517922</v>
      </c>
      <c r="L30" s="800">
        <f t="shared" si="12"/>
        <v>7.4669779353605987</v>
      </c>
      <c r="M30" s="800">
        <f t="shared" si="12"/>
        <v>2.9755022039065682</v>
      </c>
      <c r="N30" s="800">
        <f t="shared" si="12"/>
        <v>2.12060931212176</v>
      </c>
      <c r="O30" s="800">
        <f t="shared" si="12"/>
        <v>1.8853310974596162</v>
      </c>
      <c r="P30" s="800">
        <f t="shared" si="12"/>
        <v>11.007841998257334</v>
      </c>
      <c r="Q30" s="800">
        <f t="shared" si="12"/>
        <v>94.826984657595304</v>
      </c>
      <c r="R30" s="800">
        <f t="shared" si="12"/>
        <v>5.1730153424046961</v>
      </c>
      <c r="S30" s="800">
        <f t="shared" si="12"/>
        <v>100</v>
      </c>
      <c r="T30" s="366"/>
      <c r="U30" s="366"/>
      <c r="V30" s="439"/>
    </row>
    <row r="31" spans="1:22" ht="9.9499999999999993" customHeight="1">
      <c r="A31" s="322" t="s">
        <v>87</v>
      </c>
      <c r="B31" s="1225">
        <v>79682</v>
      </c>
      <c r="C31" s="748">
        <v>20657</v>
      </c>
      <c r="D31" s="748">
        <v>8841</v>
      </c>
      <c r="E31" s="748">
        <v>93459</v>
      </c>
      <c r="F31" s="748">
        <v>6740</v>
      </c>
      <c r="G31" s="748">
        <v>35962</v>
      </c>
      <c r="H31" s="748">
        <v>76728</v>
      </c>
      <c r="I31" s="748">
        <v>4093</v>
      </c>
      <c r="J31" s="748">
        <v>59513</v>
      </c>
      <c r="K31" s="748">
        <v>15728</v>
      </c>
      <c r="L31" s="748">
        <v>42442</v>
      </c>
      <c r="M31" s="748">
        <v>17447</v>
      </c>
      <c r="N31" s="748">
        <v>12293</v>
      </c>
      <c r="O31" s="748">
        <v>10634</v>
      </c>
      <c r="P31" s="748">
        <v>62191</v>
      </c>
      <c r="Q31" s="477">
        <f>SUM(B31:P31)</f>
        <v>546410</v>
      </c>
      <c r="R31" s="748">
        <v>28646</v>
      </c>
      <c r="S31" s="324">
        <f>Q31+R31</f>
        <v>575056</v>
      </c>
      <c r="T31" s="748">
        <v>45558</v>
      </c>
      <c r="U31" s="324">
        <f>S31+T31</f>
        <v>620614</v>
      </c>
      <c r="V31" s="474" t="s">
        <v>87</v>
      </c>
    </row>
    <row r="32" spans="1:22" ht="9.9499999999999993" customHeight="1">
      <c r="A32" s="399"/>
      <c r="B32" s="800">
        <f t="shared" ref="B32:S32" si="13">(B31/$S31)*100</f>
        <v>13.856389638574329</v>
      </c>
      <c r="C32" s="800">
        <f t="shared" si="13"/>
        <v>3.5921718928243509</v>
      </c>
      <c r="D32" s="800">
        <f t="shared" si="13"/>
        <v>1.5374154864917504</v>
      </c>
      <c r="E32" s="800">
        <f t="shared" si="13"/>
        <v>16.252156311733117</v>
      </c>
      <c r="F32" s="800">
        <f t="shared" si="13"/>
        <v>1.1720597646142288</v>
      </c>
      <c r="G32" s="800">
        <f t="shared" si="13"/>
        <v>6.2536518182576994</v>
      </c>
      <c r="H32" s="800">
        <f t="shared" si="13"/>
        <v>13.342700536991181</v>
      </c>
      <c r="I32" s="800">
        <f t="shared" si="13"/>
        <v>0.71175676803650434</v>
      </c>
      <c r="J32" s="800">
        <f t="shared" si="13"/>
        <v>10.34907904621463</v>
      </c>
      <c r="K32" s="800">
        <f t="shared" si="13"/>
        <v>2.73503797890988</v>
      </c>
      <c r="L32" s="800">
        <f t="shared" si="13"/>
        <v>7.3804985949194517</v>
      </c>
      <c r="M32" s="800">
        <f t="shared" si="13"/>
        <v>3.0339653877187613</v>
      </c>
      <c r="N32" s="800">
        <f t="shared" si="13"/>
        <v>2.1377048496146465</v>
      </c>
      <c r="O32" s="800">
        <f t="shared" si="13"/>
        <v>1.8492112072563367</v>
      </c>
      <c r="P32" s="800">
        <f t="shared" si="13"/>
        <v>10.81477282212515</v>
      </c>
      <c r="Q32" s="800">
        <f t="shared" si="13"/>
        <v>95.018572104282015</v>
      </c>
      <c r="R32" s="800">
        <f t="shared" si="13"/>
        <v>4.9814278957179825</v>
      </c>
      <c r="S32" s="800">
        <f t="shared" si="13"/>
        <v>100</v>
      </c>
      <c r="T32" s="366"/>
      <c r="U32" s="366"/>
      <c r="V32" s="439"/>
    </row>
    <row r="33" spans="1:22" ht="9.9499999999999993" customHeight="1">
      <c r="A33" s="322" t="s">
        <v>83</v>
      </c>
      <c r="B33" s="1225">
        <v>84904</v>
      </c>
      <c r="C33" s="748">
        <v>21607</v>
      </c>
      <c r="D33" s="748">
        <v>9561</v>
      </c>
      <c r="E33" s="748">
        <v>99671</v>
      </c>
      <c r="F33" s="748">
        <v>7412</v>
      </c>
      <c r="G33" s="748">
        <v>38554</v>
      </c>
      <c r="H33" s="748">
        <v>81219</v>
      </c>
      <c r="I33" s="748">
        <v>4339</v>
      </c>
      <c r="J33" s="748">
        <v>64006</v>
      </c>
      <c r="K33" s="748">
        <v>16711</v>
      </c>
      <c r="L33" s="748">
        <v>44078</v>
      </c>
      <c r="M33" s="748">
        <v>18882</v>
      </c>
      <c r="N33" s="748">
        <v>12930</v>
      </c>
      <c r="O33" s="748">
        <v>11360</v>
      </c>
      <c r="P33" s="748">
        <v>64191</v>
      </c>
      <c r="Q33" s="477">
        <f>SUM(B33:P33)</f>
        <v>579425</v>
      </c>
      <c r="R33" s="748">
        <v>27672</v>
      </c>
      <c r="S33" s="324">
        <f>Q33+R33</f>
        <v>607097</v>
      </c>
      <c r="T33" s="748">
        <v>49143</v>
      </c>
      <c r="U33" s="324">
        <f>S33+T33</f>
        <v>656240</v>
      </c>
      <c r="V33" s="474" t="s">
        <v>83</v>
      </c>
    </row>
    <row r="34" spans="1:22" ht="9.9499999999999993" customHeight="1">
      <c r="A34" s="366"/>
      <c r="B34" s="800">
        <f t="shared" ref="B34:S34" si="14">(B33/$S33)*100</f>
        <v>13.98524453258705</v>
      </c>
      <c r="C34" s="800">
        <f t="shared" si="14"/>
        <v>3.5590688143739801</v>
      </c>
      <c r="D34" s="800">
        <f t="shared" si="14"/>
        <v>1.5748718903239516</v>
      </c>
      <c r="E34" s="800">
        <f t="shared" si="14"/>
        <v>16.417640014692875</v>
      </c>
      <c r="F34" s="800">
        <f t="shared" si="14"/>
        <v>1.2208922132706963</v>
      </c>
      <c r="G34" s="800">
        <f t="shared" si="14"/>
        <v>6.3505502415594215</v>
      </c>
      <c r="H34" s="800">
        <f t="shared" si="14"/>
        <v>13.378257510743751</v>
      </c>
      <c r="I34" s="800">
        <f t="shared" si="14"/>
        <v>0.71471280536718185</v>
      </c>
      <c r="J34" s="800">
        <f t="shared" si="14"/>
        <v>10.54296100952566</v>
      </c>
      <c r="K34" s="800">
        <f t="shared" si="14"/>
        <v>2.7526079028557215</v>
      </c>
      <c r="L34" s="800">
        <f t="shared" si="14"/>
        <v>7.2604542601923576</v>
      </c>
      <c r="M34" s="800">
        <f t="shared" si="14"/>
        <v>3.1102113830244589</v>
      </c>
      <c r="N34" s="800">
        <f t="shared" si="14"/>
        <v>2.1298079219630472</v>
      </c>
      <c r="O34" s="800">
        <f t="shared" si="14"/>
        <v>1.8712001541763508</v>
      </c>
      <c r="P34" s="800">
        <f t="shared" si="14"/>
        <v>10.573433899360399</v>
      </c>
      <c r="Q34" s="800">
        <f t="shared" si="14"/>
        <v>95.441914554016904</v>
      </c>
      <c r="R34" s="800">
        <f t="shared" si="14"/>
        <v>4.5580854459830968</v>
      </c>
      <c r="S34" s="800">
        <f t="shared" si="14"/>
        <v>100</v>
      </c>
      <c r="T34" s="366"/>
      <c r="U34" s="366"/>
      <c r="V34" s="366"/>
    </row>
    <row r="35" spans="1:22" ht="9.9499999999999993" customHeight="1">
      <c r="A35" s="679" t="s">
        <v>225</v>
      </c>
      <c r="B35" s="748">
        <v>88206</v>
      </c>
      <c r="C35" s="748">
        <v>23051</v>
      </c>
      <c r="D35" s="748">
        <v>9907</v>
      </c>
      <c r="E35" s="748">
        <v>109651</v>
      </c>
      <c r="F35" s="748">
        <v>8402</v>
      </c>
      <c r="G35" s="748">
        <v>41235</v>
      </c>
      <c r="H35" s="748">
        <v>86650</v>
      </c>
      <c r="I35" s="748">
        <v>4608</v>
      </c>
      <c r="J35" s="748">
        <v>69409</v>
      </c>
      <c r="K35" s="748">
        <v>18456</v>
      </c>
      <c r="L35" s="748">
        <v>45790</v>
      </c>
      <c r="M35" s="748">
        <v>20552</v>
      </c>
      <c r="N35" s="748">
        <v>13659</v>
      </c>
      <c r="O35" s="748">
        <v>12080</v>
      </c>
      <c r="P35" s="748">
        <v>66265</v>
      </c>
      <c r="Q35" s="477">
        <f>SUM(B35:P35)</f>
        <v>617921</v>
      </c>
      <c r="R35" s="748">
        <v>28421</v>
      </c>
      <c r="S35" s="324">
        <f>Q35+R35</f>
        <v>646342</v>
      </c>
      <c r="T35" s="748">
        <v>51126</v>
      </c>
      <c r="U35" s="324">
        <f>S35+T35</f>
        <v>697468</v>
      </c>
      <c r="V35" s="678" t="s">
        <v>225</v>
      </c>
    </row>
    <row r="36" spans="1:22" ht="9.9499999999999993" customHeight="1">
      <c r="A36" s="493"/>
      <c r="B36" s="800">
        <f t="shared" ref="B36:S36" si="15">(B35/$S35)*100</f>
        <v>13.646954708188543</v>
      </c>
      <c r="C36" s="800">
        <f t="shared" si="15"/>
        <v>3.5663781713086879</v>
      </c>
      <c r="D36" s="800">
        <f t="shared" si="15"/>
        <v>1.5327798595789845</v>
      </c>
      <c r="E36" s="800">
        <f t="shared" si="15"/>
        <v>16.964857614080472</v>
      </c>
      <c r="F36" s="800">
        <f t="shared" si="15"/>
        <v>1.2999309962837011</v>
      </c>
      <c r="G36" s="800">
        <f t="shared" si="15"/>
        <v>6.3797494205853873</v>
      </c>
      <c r="H36" s="800">
        <f t="shared" si="15"/>
        <v>13.406215285406178</v>
      </c>
      <c r="I36" s="800">
        <f t="shared" si="15"/>
        <v>0.71293525718582429</v>
      </c>
      <c r="J36" s="800">
        <f t="shared" si="15"/>
        <v>10.738742028214165</v>
      </c>
      <c r="K36" s="800">
        <f t="shared" si="15"/>
        <v>2.8554542332078063</v>
      </c>
      <c r="L36" s="800">
        <f t="shared" si="15"/>
        <v>7.0844846845787526</v>
      </c>
      <c r="M36" s="800">
        <f t="shared" si="15"/>
        <v>3.1797407564416362</v>
      </c>
      <c r="N36" s="800">
        <f t="shared" si="15"/>
        <v>2.11327749086397</v>
      </c>
      <c r="O36" s="800">
        <f t="shared" si="15"/>
        <v>1.8689795804697822</v>
      </c>
      <c r="P36" s="800">
        <f t="shared" si="15"/>
        <v>10.25231224336342</v>
      </c>
      <c r="Q36" s="800">
        <f t="shared" si="15"/>
        <v>95.602792329757307</v>
      </c>
      <c r="R36" s="800">
        <f t="shared" si="15"/>
        <v>4.3972076702426888</v>
      </c>
      <c r="S36" s="800">
        <f t="shared" si="15"/>
        <v>100</v>
      </c>
      <c r="T36" s="366"/>
      <c r="U36" s="366"/>
      <c r="V36" s="439"/>
    </row>
    <row r="37" spans="1:22" ht="9.9499999999999993" customHeight="1">
      <c r="A37" s="679" t="s">
        <v>972</v>
      </c>
      <c r="B37" s="748">
        <v>90332</v>
      </c>
      <c r="C37" s="748">
        <v>24279</v>
      </c>
      <c r="D37" s="748">
        <v>10593</v>
      </c>
      <c r="E37" s="748">
        <v>120567</v>
      </c>
      <c r="F37" s="748">
        <v>9291</v>
      </c>
      <c r="G37" s="748">
        <v>44709</v>
      </c>
      <c r="H37" s="748">
        <v>92457</v>
      </c>
      <c r="I37" s="748">
        <v>4902</v>
      </c>
      <c r="J37" s="748">
        <v>75761</v>
      </c>
      <c r="K37" s="748">
        <v>21180</v>
      </c>
      <c r="L37" s="748">
        <v>47587</v>
      </c>
      <c r="M37" s="748">
        <v>22099</v>
      </c>
      <c r="N37" s="748">
        <v>14718</v>
      </c>
      <c r="O37" s="748">
        <v>12540</v>
      </c>
      <c r="P37" s="748">
        <v>68416</v>
      </c>
      <c r="Q37" s="477">
        <f>SUM(B37:P37)</f>
        <v>659431</v>
      </c>
      <c r="R37" s="748">
        <v>29062</v>
      </c>
      <c r="S37" s="324">
        <f>Q37+R37</f>
        <v>688493</v>
      </c>
      <c r="T37" s="748">
        <v>58267</v>
      </c>
      <c r="U37" s="324">
        <f>S37+T37</f>
        <v>746760</v>
      </c>
      <c r="V37" s="678" t="s">
        <v>972</v>
      </c>
    </row>
    <row r="38" spans="1:22" ht="9.9499999999999993" customHeight="1">
      <c r="A38" s="493"/>
      <c r="B38" s="800">
        <f t="shared" ref="B38:S38" si="16">(B37/$S37)*100</f>
        <v>13.120249588594218</v>
      </c>
      <c r="C38" s="800">
        <f t="shared" si="16"/>
        <v>3.5263975087618902</v>
      </c>
      <c r="D38" s="800">
        <f t="shared" si="16"/>
        <v>1.5385777342689033</v>
      </c>
      <c r="E38" s="800">
        <f t="shared" si="16"/>
        <v>17.511724883186901</v>
      </c>
      <c r="F38" s="800">
        <f t="shared" si="16"/>
        <v>1.3494690577827226</v>
      </c>
      <c r="G38" s="800">
        <f t="shared" si="16"/>
        <v>6.4937479393399791</v>
      </c>
      <c r="H38" s="800">
        <f t="shared" si="16"/>
        <v>13.428894701906918</v>
      </c>
      <c r="I38" s="800">
        <f t="shared" si="16"/>
        <v>0.71198980962769409</v>
      </c>
      <c r="J38" s="800">
        <f t="shared" si="16"/>
        <v>11.003888202203944</v>
      </c>
      <c r="K38" s="800">
        <f t="shared" si="16"/>
        <v>3.0762839999825706</v>
      </c>
      <c r="L38" s="800">
        <f t="shared" si="16"/>
        <v>6.9117623563347772</v>
      </c>
      <c r="M38" s="800">
        <f t="shared" si="16"/>
        <v>3.2097639336928627</v>
      </c>
      <c r="N38" s="800">
        <f t="shared" si="16"/>
        <v>2.1377123659935542</v>
      </c>
      <c r="O38" s="800">
        <f t="shared" si="16"/>
        <v>1.8213692804429384</v>
      </c>
      <c r="P38" s="800">
        <f t="shared" si="16"/>
        <v>9.9370654458360512</v>
      </c>
      <c r="Q38" s="800">
        <f t="shared" si="16"/>
        <v>95.778896807955931</v>
      </c>
      <c r="R38" s="800">
        <f t="shared" si="16"/>
        <v>4.2211031920440734</v>
      </c>
      <c r="S38" s="800">
        <f t="shared" si="16"/>
        <v>100</v>
      </c>
      <c r="T38" s="366"/>
      <c r="U38" s="366"/>
      <c r="V38" s="439"/>
    </row>
    <row r="39" spans="1:22" ht="9.9499999999999993" customHeight="1">
      <c r="A39" s="679" t="s">
        <v>1107</v>
      </c>
      <c r="B39" s="748">
        <v>91656</v>
      </c>
      <c r="C39" s="748">
        <v>25779</v>
      </c>
      <c r="D39" s="748">
        <v>11584</v>
      </c>
      <c r="E39" s="748">
        <v>132994</v>
      </c>
      <c r="F39" s="748">
        <v>10126</v>
      </c>
      <c r="G39" s="748">
        <v>48305</v>
      </c>
      <c r="H39" s="748">
        <v>98173</v>
      </c>
      <c r="I39" s="748">
        <v>5220</v>
      </c>
      <c r="J39" s="748">
        <v>80514</v>
      </c>
      <c r="K39" s="748">
        <v>23110</v>
      </c>
      <c r="L39" s="748">
        <v>49509</v>
      </c>
      <c r="M39" s="748">
        <v>23542</v>
      </c>
      <c r="N39" s="748">
        <v>15645</v>
      </c>
      <c r="O39" s="748">
        <v>13137</v>
      </c>
      <c r="P39" s="748">
        <v>70642</v>
      </c>
      <c r="Q39" s="477">
        <f>SUM(B39:P39)</f>
        <v>699936</v>
      </c>
      <c r="R39" s="748">
        <v>29960</v>
      </c>
      <c r="S39" s="324">
        <f>Q39+R39</f>
        <v>729896</v>
      </c>
      <c r="T39" s="748">
        <v>58705</v>
      </c>
      <c r="U39" s="324">
        <f>S39+T39</f>
        <v>788601</v>
      </c>
      <c r="V39" s="678" t="s">
        <v>1107</v>
      </c>
    </row>
    <row r="40" spans="1:22" ht="9.9499999999999993" customHeight="1">
      <c r="A40" s="493"/>
      <c r="B40" s="800">
        <f t="shared" ref="B40:S40" si="17">(B39/$S39)*100</f>
        <v>12.55740543858303</v>
      </c>
      <c r="C40" s="800">
        <f t="shared" si="17"/>
        <v>3.531873033966483</v>
      </c>
      <c r="D40" s="800">
        <f t="shared" si="17"/>
        <v>1.5870754189637977</v>
      </c>
      <c r="E40" s="800">
        <f t="shared" si="17"/>
        <v>18.220952026042067</v>
      </c>
      <c r="F40" s="800">
        <f t="shared" si="17"/>
        <v>1.3873209333932506</v>
      </c>
      <c r="G40" s="800">
        <f t="shared" si="17"/>
        <v>6.6180661354494337</v>
      </c>
      <c r="H40" s="800">
        <f t="shared" si="17"/>
        <v>13.450272367570173</v>
      </c>
      <c r="I40" s="800">
        <f t="shared" si="17"/>
        <v>0.71517038043776104</v>
      </c>
      <c r="J40" s="800">
        <f t="shared" si="17"/>
        <v>11.03088659206243</v>
      </c>
      <c r="K40" s="800">
        <f t="shared" si="17"/>
        <v>3.1662045003671757</v>
      </c>
      <c r="L40" s="800">
        <f t="shared" si="17"/>
        <v>6.7830211427381437</v>
      </c>
      <c r="M40" s="800">
        <f t="shared" si="17"/>
        <v>3.2253910146103006</v>
      </c>
      <c r="N40" s="800">
        <f t="shared" si="17"/>
        <v>2.1434560540131744</v>
      </c>
      <c r="O40" s="800">
        <f t="shared" si="17"/>
        <v>1.7998454574350318</v>
      </c>
      <c r="P40" s="800">
        <f t="shared" si="17"/>
        <v>9.6783651369510171</v>
      </c>
      <c r="Q40" s="800">
        <f t="shared" si="17"/>
        <v>95.895305632583273</v>
      </c>
      <c r="R40" s="800">
        <f t="shared" si="17"/>
        <v>4.1046943674167284</v>
      </c>
      <c r="S40" s="800">
        <f t="shared" si="17"/>
        <v>100</v>
      </c>
      <c r="T40" s="366"/>
      <c r="U40" s="366"/>
      <c r="V40" s="439"/>
    </row>
    <row r="41" spans="1:22" ht="9.9499999999999993" customHeight="1">
      <c r="A41" s="679" t="s">
        <v>1347</v>
      </c>
      <c r="B41" s="748">
        <v>95151</v>
      </c>
      <c r="C41" s="748">
        <v>27419</v>
      </c>
      <c r="D41" s="748">
        <v>12127</v>
      </c>
      <c r="E41" s="748">
        <v>144653</v>
      </c>
      <c r="F41" s="748">
        <v>10585</v>
      </c>
      <c r="G41" s="748">
        <v>52209</v>
      </c>
      <c r="H41" s="748">
        <v>104776</v>
      </c>
      <c r="I41" s="748">
        <v>5570</v>
      </c>
      <c r="J41" s="748">
        <v>85382</v>
      </c>
      <c r="K41" s="748">
        <v>24790</v>
      </c>
      <c r="L41" s="748">
        <v>51615</v>
      </c>
      <c r="M41" s="748">
        <v>25165</v>
      </c>
      <c r="N41" s="748">
        <v>16781</v>
      </c>
      <c r="O41" s="748">
        <v>13802</v>
      </c>
      <c r="P41" s="748">
        <v>72955</v>
      </c>
      <c r="Q41" s="477">
        <f>SUM(B41:P41)</f>
        <v>742980</v>
      </c>
      <c r="R41" s="748">
        <v>31156</v>
      </c>
      <c r="S41" s="324">
        <f>Q41+R41</f>
        <v>774136</v>
      </c>
      <c r="T41" s="748">
        <v>51592</v>
      </c>
      <c r="U41" s="324">
        <f>S41+T41</f>
        <v>825728</v>
      </c>
      <c r="V41" s="678" t="s">
        <v>1347</v>
      </c>
    </row>
    <row r="42" spans="1:22" ht="9.9499999999999993" customHeight="1">
      <c r="A42" s="366"/>
      <c r="B42" s="800">
        <f t="shared" ref="B42:S42" si="18">(B41/$S41)*100</f>
        <v>12.291251149668792</v>
      </c>
      <c r="C42" s="800">
        <f t="shared" si="18"/>
        <v>3.5418841133857617</v>
      </c>
      <c r="D42" s="800">
        <f t="shared" si="18"/>
        <v>1.5665206113654448</v>
      </c>
      <c r="E42" s="800">
        <f t="shared" si="18"/>
        <v>18.685734806287268</v>
      </c>
      <c r="F42" s="800">
        <f t="shared" si="18"/>
        <v>1.3673308049231658</v>
      </c>
      <c r="G42" s="800">
        <f t="shared" si="18"/>
        <v>6.7441638161770028</v>
      </c>
      <c r="H42" s="800">
        <f t="shared" si="18"/>
        <v>13.53457273657342</v>
      </c>
      <c r="I42" s="800">
        <f t="shared" si="18"/>
        <v>0.71951181704506706</v>
      </c>
      <c r="J42" s="800">
        <f t="shared" si="18"/>
        <v>11.029328180061384</v>
      </c>
      <c r="K42" s="800">
        <f t="shared" si="18"/>
        <v>3.2022797027912406</v>
      </c>
      <c r="L42" s="800">
        <f t="shared" si="18"/>
        <v>6.6674331125280322</v>
      </c>
      <c r="M42" s="800">
        <f t="shared" si="18"/>
        <v>3.2507208035797328</v>
      </c>
      <c r="N42" s="800">
        <f t="shared" si="18"/>
        <v>2.1677069662178221</v>
      </c>
      <c r="O42" s="800">
        <f t="shared" si="18"/>
        <v>1.7828908615540422</v>
      </c>
      <c r="P42" s="800">
        <f t="shared" si="18"/>
        <v>9.4240546880651461</v>
      </c>
      <c r="Q42" s="800">
        <f t="shared" si="18"/>
        <v>95.975384170223322</v>
      </c>
      <c r="R42" s="800">
        <f t="shared" si="18"/>
        <v>4.0246158297766801</v>
      </c>
      <c r="S42" s="800">
        <f t="shared" si="18"/>
        <v>100</v>
      </c>
      <c r="T42" s="366"/>
      <c r="U42" s="366"/>
      <c r="V42" s="439"/>
    </row>
    <row r="43" spans="1:22" ht="9.9499999999999993" customHeight="1">
      <c r="A43" s="679" t="s">
        <v>1406</v>
      </c>
      <c r="B43" s="748">
        <v>97480</v>
      </c>
      <c r="C43" s="748">
        <v>29170</v>
      </c>
      <c r="D43" s="748">
        <v>13290</v>
      </c>
      <c r="E43" s="748">
        <v>159568</v>
      </c>
      <c r="F43" s="748">
        <v>11243</v>
      </c>
      <c r="G43" s="748">
        <v>56698</v>
      </c>
      <c r="H43" s="748">
        <v>111426</v>
      </c>
      <c r="I43" s="748">
        <v>5950</v>
      </c>
      <c r="J43" s="748">
        <v>90475</v>
      </c>
      <c r="K43" s="748">
        <v>26719</v>
      </c>
      <c r="L43" s="748">
        <v>53888</v>
      </c>
      <c r="M43" s="748">
        <v>27637</v>
      </c>
      <c r="N43" s="748">
        <v>18125</v>
      </c>
      <c r="O43" s="748">
        <v>14517</v>
      </c>
      <c r="P43" s="748">
        <v>75352</v>
      </c>
      <c r="Q43" s="477">
        <f>SUM(B43:P43)</f>
        <v>791538</v>
      </c>
      <c r="R43" s="748">
        <v>33324</v>
      </c>
      <c r="S43" s="324">
        <f>Q43+R43</f>
        <v>824862</v>
      </c>
      <c r="T43" s="748">
        <v>53548</v>
      </c>
      <c r="U43" s="324">
        <f>S43+T43</f>
        <v>878410</v>
      </c>
      <c r="V43" s="678" t="s">
        <v>1406</v>
      </c>
    </row>
    <row r="44" spans="1:22" ht="9.9499999999999993" customHeight="1">
      <c r="A44" s="366"/>
      <c r="B44" s="800">
        <f t="shared" ref="B44:S46" si="19">(B43/$S43)*100</f>
        <v>11.817734360414226</v>
      </c>
      <c r="C44" s="800">
        <f t="shared" si="19"/>
        <v>3.5363491105178806</v>
      </c>
      <c r="D44" s="800">
        <f t="shared" si="19"/>
        <v>1.6111785971471591</v>
      </c>
      <c r="E44" s="800">
        <f t="shared" si="19"/>
        <v>19.344811616973505</v>
      </c>
      <c r="F44" s="800">
        <f t="shared" si="19"/>
        <v>1.3630158741704674</v>
      </c>
      <c r="G44" s="800">
        <f t="shared" si="19"/>
        <v>6.8736346200940286</v>
      </c>
      <c r="H44" s="800">
        <f t="shared" si="19"/>
        <v>13.50844141201801</v>
      </c>
      <c r="I44" s="800">
        <f t="shared" si="19"/>
        <v>0.72133278051358896</v>
      </c>
      <c r="J44" s="800">
        <f t="shared" si="19"/>
        <v>10.968501397809574</v>
      </c>
      <c r="K44" s="800">
        <f t="shared" si="19"/>
        <v>3.2392084979063167</v>
      </c>
      <c r="L44" s="800">
        <f t="shared" si="19"/>
        <v>6.5329715758514766</v>
      </c>
      <c r="M44" s="800">
        <f t="shared" si="19"/>
        <v>3.350499841185556</v>
      </c>
      <c r="N44" s="800">
        <f t="shared" si="19"/>
        <v>2.197337251564504</v>
      </c>
      <c r="O44" s="800">
        <f t="shared" si="19"/>
        <v>1.7599307520530707</v>
      </c>
      <c r="P44" s="800">
        <f t="shared" si="19"/>
        <v>9.1351038113041927</v>
      </c>
      <c r="Q44" s="800">
        <f t="shared" si="19"/>
        <v>95.960051499523559</v>
      </c>
      <c r="R44" s="800">
        <f t="shared" si="19"/>
        <v>4.0399485004764433</v>
      </c>
      <c r="S44" s="800">
        <f t="shared" si="19"/>
        <v>100</v>
      </c>
      <c r="T44" s="366"/>
      <c r="U44" s="366"/>
      <c r="V44" s="439"/>
    </row>
    <row r="45" spans="1:22" ht="9.9499999999999993" customHeight="1">
      <c r="A45" s="679" t="s">
        <v>1560</v>
      </c>
      <c r="B45" s="748">
        <v>99228</v>
      </c>
      <c r="C45" s="748">
        <v>30950</v>
      </c>
      <c r="D45" s="748">
        <v>14997</v>
      </c>
      <c r="E45" s="748">
        <v>178223</v>
      </c>
      <c r="F45" s="748">
        <v>12742</v>
      </c>
      <c r="G45" s="748">
        <v>61552</v>
      </c>
      <c r="H45" s="748">
        <v>118665</v>
      </c>
      <c r="I45" s="748">
        <v>6366</v>
      </c>
      <c r="J45" s="748">
        <v>95972</v>
      </c>
      <c r="K45" s="748">
        <v>28787</v>
      </c>
      <c r="L45" s="748">
        <v>56297</v>
      </c>
      <c r="M45" s="748">
        <v>30796</v>
      </c>
      <c r="N45" s="748">
        <v>20248</v>
      </c>
      <c r="O45" s="748">
        <v>15612</v>
      </c>
      <c r="P45" s="748">
        <v>77838</v>
      </c>
      <c r="Q45" s="477">
        <f>SUM(B45:P45)</f>
        <v>848273</v>
      </c>
      <c r="R45" s="748">
        <v>35266</v>
      </c>
      <c r="S45" s="324">
        <f>Q45+R45</f>
        <v>883539</v>
      </c>
      <c r="T45" s="748">
        <v>50891</v>
      </c>
      <c r="U45" s="324">
        <f>S45+T45</f>
        <v>934430</v>
      </c>
      <c r="V45" s="678" t="s">
        <v>1560</v>
      </c>
    </row>
    <row r="46" spans="1:22" ht="9.9499999999999993" customHeight="1">
      <c r="A46" s="366"/>
      <c r="B46" s="800">
        <f t="shared" si="19"/>
        <v>11.230743634406631</v>
      </c>
      <c r="C46" s="800">
        <f t="shared" si="19"/>
        <v>3.5029579905357884</v>
      </c>
      <c r="D46" s="800">
        <f t="shared" si="19"/>
        <v>1.6973783839762593</v>
      </c>
      <c r="E46" s="800">
        <f t="shared" si="19"/>
        <v>20.171492146922773</v>
      </c>
      <c r="F46" s="800">
        <f t="shared" si="19"/>
        <v>1.4421547888661395</v>
      </c>
      <c r="G46" s="800">
        <f t="shared" si="19"/>
        <v>6.9665289251521436</v>
      </c>
      <c r="H46" s="800">
        <f t="shared" si="19"/>
        <v>13.430646524941173</v>
      </c>
      <c r="I46" s="800">
        <f t="shared" si="19"/>
        <v>0.7205114884572158</v>
      </c>
      <c r="J46" s="800">
        <f t="shared" si="19"/>
        <v>10.862225662930555</v>
      </c>
      <c r="K46" s="800">
        <f t="shared" si="19"/>
        <v>3.2581470653813809</v>
      </c>
      <c r="L46" s="800">
        <f t="shared" si="19"/>
        <v>6.3717617445296693</v>
      </c>
      <c r="M46" s="800">
        <f t="shared" si="19"/>
        <v>3.4855280864794875</v>
      </c>
      <c r="N46" s="800">
        <f t="shared" si="19"/>
        <v>2.2916928398180501</v>
      </c>
      <c r="O46" s="800">
        <f t="shared" si="19"/>
        <v>1.7669848190062918</v>
      </c>
      <c r="P46" s="800">
        <f t="shared" si="19"/>
        <v>8.8097978697035444</v>
      </c>
      <c r="Q46" s="800">
        <f t="shared" si="19"/>
        <v>96.00855197110711</v>
      </c>
      <c r="R46" s="800">
        <f t="shared" si="19"/>
        <v>3.9914480288928953</v>
      </c>
      <c r="S46" s="800">
        <f t="shared" si="19"/>
        <v>100</v>
      </c>
      <c r="T46" s="366"/>
      <c r="U46" s="366"/>
      <c r="V46" s="439"/>
    </row>
    <row r="47" spans="1:22" s="211" customFormat="1" ht="9.9499999999999993" customHeight="1">
      <c r="A47" s="322" t="s">
        <v>1596</v>
      </c>
      <c r="B47" s="748">
        <v>101173</v>
      </c>
      <c r="C47" s="748">
        <v>32879</v>
      </c>
      <c r="D47" s="748">
        <v>16330</v>
      </c>
      <c r="E47" s="748">
        <v>197765</v>
      </c>
      <c r="F47" s="748">
        <v>13820</v>
      </c>
      <c r="G47" s="748">
        <v>66951</v>
      </c>
      <c r="H47" s="748">
        <v>127417</v>
      </c>
      <c r="I47" s="748">
        <v>6820</v>
      </c>
      <c r="J47" s="748">
        <v>102463</v>
      </c>
      <c r="K47" s="748">
        <v>31413</v>
      </c>
      <c r="L47" s="748">
        <v>58997</v>
      </c>
      <c r="M47" s="748">
        <v>33615</v>
      </c>
      <c r="N47" s="748">
        <v>22547</v>
      </c>
      <c r="O47" s="748">
        <v>16804</v>
      </c>
      <c r="P47" s="748">
        <v>80653</v>
      </c>
      <c r="Q47" s="477">
        <f>SUM(B47:P47)</f>
        <v>909647</v>
      </c>
      <c r="R47" s="748">
        <v>38252</v>
      </c>
      <c r="S47" s="324">
        <f>Q47+R47</f>
        <v>947899</v>
      </c>
      <c r="T47" s="324">
        <v>40731</v>
      </c>
      <c r="U47" s="324">
        <f>S47+T47</f>
        <v>988630</v>
      </c>
      <c r="V47" s="678" t="s">
        <v>1596</v>
      </c>
    </row>
    <row r="48" spans="1:22" s="9" customFormat="1" ht="9.9499999999999993" customHeight="1">
      <c r="A48" s="366"/>
      <c r="B48" s="800">
        <f t="shared" ref="B48:S54" si="20">(B47/$S47)*100</f>
        <v>10.673394528319999</v>
      </c>
      <c r="C48" s="800">
        <f t="shared" si="20"/>
        <v>3.4686184920545329</v>
      </c>
      <c r="D48" s="800">
        <f t="shared" si="20"/>
        <v>1.7227573823793463</v>
      </c>
      <c r="E48" s="800">
        <f t="shared" si="20"/>
        <v>20.863509719917417</v>
      </c>
      <c r="F48" s="800">
        <f t="shared" si="20"/>
        <v>1.4579612384863789</v>
      </c>
      <c r="G48" s="800">
        <f t="shared" si="20"/>
        <v>7.0630942748119789</v>
      </c>
      <c r="H48" s="800">
        <f t="shared" si="20"/>
        <v>13.442043930840732</v>
      </c>
      <c r="I48" s="800">
        <f t="shared" si="20"/>
        <v>0.71948593679284401</v>
      </c>
      <c r="J48" s="800">
        <f t="shared" si="20"/>
        <v>10.809484976774952</v>
      </c>
      <c r="K48" s="800">
        <f t="shared" si="20"/>
        <v>3.313960664585573</v>
      </c>
      <c r="L48" s="800">
        <f t="shared" si="20"/>
        <v>6.2239753391447818</v>
      </c>
      <c r="M48" s="800">
        <f t="shared" si="20"/>
        <v>3.5462638952040249</v>
      </c>
      <c r="N48" s="800">
        <f t="shared" si="20"/>
        <v>2.3786289467548758</v>
      </c>
      <c r="O48" s="800">
        <f t="shared" si="20"/>
        <v>1.7727627099511656</v>
      </c>
      <c r="P48" s="800">
        <f t="shared" si="20"/>
        <v>8.508606929641239</v>
      </c>
      <c r="Q48" s="800">
        <f t="shared" si="20"/>
        <v>95.964548965659844</v>
      </c>
      <c r="R48" s="800">
        <f t="shared" si="20"/>
        <v>4.0354510343401566</v>
      </c>
      <c r="S48" s="800">
        <f t="shared" si="20"/>
        <v>100</v>
      </c>
      <c r="T48" s="366"/>
      <c r="U48" s="366"/>
      <c r="V48" s="439"/>
    </row>
    <row r="49" spans="1:22" s="211" customFormat="1" ht="9.9499999999999993" customHeight="1">
      <c r="A49" s="322" t="s">
        <v>1756</v>
      </c>
      <c r="B49" s="748">
        <v>104688</v>
      </c>
      <c r="C49" s="748">
        <v>34974</v>
      </c>
      <c r="D49" s="748">
        <v>17474</v>
      </c>
      <c r="E49" s="748">
        <v>224270</v>
      </c>
      <c r="F49" s="748">
        <v>15089</v>
      </c>
      <c r="G49" s="748">
        <v>73595</v>
      </c>
      <c r="H49" s="748">
        <v>136914</v>
      </c>
      <c r="I49" s="748">
        <v>7316</v>
      </c>
      <c r="J49" s="748">
        <v>109208</v>
      </c>
      <c r="K49" s="748">
        <v>33893</v>
      </c>
      <c r="L49" s="748">
        <v>61936</v>
      </c>
      <c r="M49" s="748">
        <v>36463</v>
      </c>
      <c r="N49" s="748">
        <v>24127</v>
      </c>
      <c r="O49" s="748">
        <v>17984</v>
      </c>
      <c r="P49" s="748">
        <v>83598</v>
      </c>
      <c r="Q49" s="477">
        <f>SUM(B49:P49)</f>
        <v>981529</v>
      </c>
      <c r="R49" s="748">
        <v>40909</v>
      </c>
      <c r="S49" s="324">
        <f>Q49+R49</f>
        <v>1022438</v>
      </c>
      <c r="T49" s="324">
        <v>46626</v>
      </c>
      <c r="U49" s="324">
        <f>S49+T49</f>
        <v>1069064</v>
      </c>
      <c r="V49" s="474" t="s">
        <v>1756</v>
      </c>
    </row>
    <row r="50" spans="1:22" s="9" customFormat="1" ht="9.9499999999999993" customHeight="1">
      <c r="A50" s="493"/>
      <c r="B50" s="800">
        <f t="shared" si="20"/>
        <v>10.239056060122961</v>
      </c>
      <c r="C50" s="800">
        <f t="shared" si="20"/>
        <v>3.4206475111449302</v>
      </c>
      <c r="D50" s="800">
        <f t="shared" si="20"/>
        <v>1.7090522848329188</v>
      </c>
      <c r="E50" s="800">
        <f t="shared" si="20"/>
        <v>21.934826365999697</v>
      </c>
      <c r="F50" s="800">
        <f t="shared" si="20"/>
        <v>1.4757863068469677</v>
      </c>
      <c r="G50" s="800">
        <f t="shared" si="20"/>
        <v>7.1979914674532841</v>
      </c>
      <c r="H50" s="800">
        <f t="shared" si="20"/>
        <v>13.390934218016154</v>
      </c>
      <c r="I50" s="800">
        <f t="shared" si="20"/>
        <v>0.7155446100399242</v>
      </c>
      <c r="J50" s="800">
        <f t="shared" si="20"/>
        <v>10.681136655718976</v>
      </c>
      <c r="K50" s="800">
        <f t="shared" si="20"/>
        <v>3.3149198288795998</v>
      </c>
      <c r="L50" s="800">
        <f t="shared" si="20"/>
        <v>6.05767782496347</v>
      </c>
      <c r="M50" s="800">
        <f t="shared" si="20"/>
        <v>3.5662798135437059</v>
      </c>
      <c r="N50" s="800">
        <f t="shared" si="20"/>
        <v>2.3597518871559937</v>
      </c>
      <c r="O50" s="800">
        <f t="shared" si="20"/>
        <v>1.7589330599997259</v>
      </c>
      <c r="P50" s="800">
        <f t="shared" si="20"/>
        <v>8.1763392988132289</v>
      </c>
      <c r="Q50" s="800">
        <f t="shared" si="20"/>
        <v>95.998877193531541</v>
      </c>
      <c r="R50" s="800">
        <f t="shared" si="20"/>
        <v>4.0011228064684605</v>
      </c>
      <c r="S50" s="800">
        <f t="shared" si="20"/>
        <v>100</v>
      </c>
      <c r="T50" s="366"/>
      <c r="U50" s="366"/>
      <c r="V50" s="439"/>
    </row>
    <row r="51" spans="1:22" s="211" customFormat="1" ht="9.9499999999999993" customHeight="1">
      <c r="A51" s="322" t="s">
        <v>1904</v>
      </c>
      <c r="B51" s="748">
        <v>107991</v>
      </c>
      <c r="C51" s="748">
        <v>37146</v>
      </c>
      <c r="D51" s="748">
        <v>18501</v>
      </c>
      <c r="E51" s="748">
        <v>256118</v>
      </c>
      <c r="F51" s="748">
        <v>16535</v>
      </c>
      <c r="G51" s="748">
        <v>81139</v>
      </c>
      <c r="H51" s="748">
        <v>148058</v>
      </c>
      <c r="I51" s="748">
        <v>7870</v>
      </c>
      <c r="J51" s="748">
        <v>117056</v>
      </c>
      <c r="K51" s="748">
        <v>36394</v>
      </c>
      <c r="L51" s="748">
        <v>65173</v>
      </c>
      <c r="M51" s="748">
        <v>38795</v>
      </c>
      <c r="N51" s="748">
        <v>25976</v>
      </c>
      <c r="O51" s="748">
        <v>20105</v>
      </c>
      <c r="P51" s="748">
        <v>86706</v>
      </c>
      <c r="Q51" s="477">
        <f>SUM(B51:P51)</f>
        <v>1063563</v>
      </c>
      <c r="R51" s="748">
        <v>42231</v>
      </c>
      <c r="S51" s="324">
        <f>Q51+R51</f>
        <v>1105794</v>
      </c>
      <c r="T51" s="748">
        <v>49412</v>
      </c>
      <c r="U51" s="324">
        <f>S51+T51</f>
        <v>1155206</v>
      </c>
      <c r="V51" s="474" t="s">
        <v>1904</v>
      </c>
    </row>
    <row r="52" spans="1:22" s="9" customFormat="1" ht="9.9499999999999993" customHeight="1">
      <c r="A52" s="493"/>
      <c r="B52" s="800">
        <f t="shared" si="20"/>
        <v>9.765923852001368</v>
      </c>
      <c r="C52" s="800">
        <f t="shared" si="20"/>
        <v>3.3592151883623895</v>
      </c>
      <c r="D52" s="800">
        <f t="shared" si="20"/>
        <v>1.6730964356833189</v>
      </c>
      <c r="E52" s="800">
        <f t="shared" si="20"/>
        <v>23.161456835540797</v>
      </c>
      <c r="F52" s="800">
        <f t="shared" si="20"/>
        <v>1.4953056355885455</v>
      </c>
      <c r="G52" s="800">
        <f t="shared" si="20"/>
        <v>7.3376234633213784</v>
      </c>
      <c r="H52" s="800">
        <f t="shared" si="20"/>
        <v>13.389293123312299</v>
      </c>
      <c r="I52" s="800">
        <f t="shared" si="20"/>
        <v>0.71170579692058378</v>
      </c>
      <c r="J52" s="800">
        <f t="shared" si="20"/>
        <v>10.585696793435305</v>
      </c>
      <c r="K52" s="800">
        <f t="shared" si="20"/>
        <v>3.2912097551623538</v>
      </c>
      <c r="L52" s="800">
        <f t="shared" si="20"/>
        <v>5.8937740664174338</v>
      </c>
      <c r="M52" s="800">
        <f t="shared" si="20"/>
        <v>3.5083388045151267</v>
      </c>
      <c r="N52" s="800">
        <f t="shared" si="20"/>
        <v>2.349081293622501</v>
      </c>
      <c r="O52" s="800">
        <f t="shared" si="20"/>
        <v>1.8181505777748839</v>
      </c>
      <c r="P52" s="800">
        <f t="shared" si="20"/>
        <v>7.8410626210668539</v>
      </c>
      <c r="Q52" s="800">
        <f t="shared" si="20"/>
        <v>96.180934242725129</v>
      </c>
      <c r="R52" s="800">
        <f t="shared" si="20"/>
        <v>3.819065757274863</v>
      </c>
      <c r="S52" s="800">
        <f t="shared" si="20"/>
        <v>100</v>
      </c>
      <c r="T52" s="366"/>
      <c r="U52" s="366"/>
      <c r="V52" s="439"/>
    </row>
    <row r="53" spans="1:22" s="9" customFormat="1" ht="12" customHeight="1">
      <c r="A53" s="479" t="s">
        <v>2125</v>
      </c>
      <c r="B53" s="748">
        <v>110232</v>
      </c>
      <c r="C53" s="748">
        <v>39413</v>
      </c>
      <c r="D53" s="748">
        <v>19311</v>
      </c>
      <c r="E53" s="748">
        <v>271067</v>
      </c>
      <c r="F53" s="748">
        <v>17553</v>
      </c>
      <c r="G53" s="748">
        <v>88492</v>
      </c>
      <c r="H53" s="748">
        <v>155496</v>
      </c>
      <c r="I53" s="748">
        <v>8378</v>
      </c>
      <c r="J53" s="748">
        <v>124300</v>
      </c>
      <c r="K53" s="748">
        <v>38016</v>
      </c>
      <c r="L53" s="748">
        <v>68331</v>
      </c>
      <c r="M53" s="748">
        <v>41131</v>
      </c>
      <c r="N53" s="748">
        <v>27583</v>
      </c>
      <c r="O53" s="748">
        <v>22107</v>
      </c>
      <c r="P53" s="748">
        <v>89836</v>
      </c>
      <c r="Q53" s="477">
        <f>SUM(B53:P53)</f>
        <v>1121246</v>
      </c>
      <c r="R53" s="748">
        <v>42494</v>
      </c>
      <c r="S53" s="324">
        <f>Q53+R53</f>
        <v>1163740</v>
      </c>
      <c r="T53" s="748">
        <v>55785</v>
      </c>
      <c r="U53" s="324">
        <f>S53+T53</f>
        <v>1219525</v>
      </c>
      <c r="V53" s="474" t="s">
        <v>2125</v>
      </c>
    </row>
    <row r="54" spans="1:22" s="9" customFormat="1" ht="9.9499999999999993" customHeight="1" thickBot="1">
      <c r="A54" s="1187"/>
      <c r="B54" s="750">
        <f>(B53/$S53)*100</f>
        <v>9.4722188805059542</v>
      </c>
      <c r="C54" s="750">
        <f t="shared" si="20"/>
        <v>3.3867530548060563</v>
      </c>
      <c r="D54" s="750">
        <f t="shared" si="20"/>
        <v>1.6593912729647515</v>
      </c>
      <c r="E54" s="750">
        <f t="shared" si="20"/>
        <v>23.29274580232698</v>
      </c>
      <c r="F54" s="750">
        <f t="shared" si="20"/>
        <v>1.508326602161995</v>
      </c>
      <c r="G54" s="750">
        <f t="shared" si="20"/>
        <v>7.6041040094866545</v>
      </c>
      <c r="H54" s="750">
        <f t="shared" si="20"/>
        <v>13.361747469366009</v>
      </c>
      <c r="I54" s="750">
        <f t="shared" si="20"/>
        <v>0.71992025710210183</v>
      </c>
      <c r="J54" s="750">
        <f t="shared" si="20"/>
        <v>10.681079966315501</v>
      </c>
      <c r="K54" s="750">
        <f t="shared" si="20"/>
        <v>3.2667090587244574</v>
      </c>
      <c r="L54" s="750">
        <f t="shared" si="20"/>
        <v>5.8716723666798432</v>
      </c>
      <c r="M54" s="750">
        <f t="shared" si="20"/>
        <v>3.5343805317338925</v>
      </c>
      <c r="N54" s="750">
        <f t="shared" si="20"/>
        <v>2.3702029662983142</v>
      </c>
      <c r="O54" s="750">
        <f t="shared" si="20"/>
        <v>1.8996511248216954</v>
      </c>
      <c r="P54" s="750">
        <f t="shared" si="20"/>
        <v>7.7195937236839844</v>
      </c>
      <c r="Q54" s="750">
        <f t="shared" si="20"/>
        <v>96.348497086978185</v>
      </c>
      <c r="R54" s="750">
        <f t="shared" si="20"/>
        <v>3.6515029130218091</v>
      </c>
      <c r="S54" s="750">
        <f t="shared" si="20"/>
        <v>100</v>
      </c>
      <c r="T54" s="1059"/>
      <c r="U54" s="1059"/>
      <c r="V54" s="1188"/>
    </row>
    <row r="55" spans="1:22" ht="13.5" customHeight="1">
      <c r="A55" s="97" t="s">
        <v>404</v>
      </c>
      <c r="B55" s="2082" t="s">
        <v>1735</v>
      </c>
      <c r="C55" s="2082"/>
      <c r="D55" s="2082"/>
      <c r="E55" s="2082"/>
      <c r="F55" s="2082"/>
      <c r="G55" s="2082"/>
      <c r="H55" s="2082"/>
      <c r="I55" s="2082"/>
      <c r="J55" s="2082"/>
      <c r="K55" s="2082"/>
      <c r="L55" s="97" t="s">
        <v>405</v>
      </c>
      <c r="M55" s="951" t="s">
        <v>1645</v>
      </c>
      <c r="N55" s="7"/>
      <c r="O55" s="7"/>
      <c r="P55" s="7"/>
      <c r="Q55" s="2077"/>
      <c r="R55" s="2077"/>
      <c r="S55" s="7"/>
      <c r="T55" s="40"/>
      <c r="U55" s="14"/>
      <c r="V55" s="7"/>
    </row>
    <row r="56" spans="1:22">
      <c r="B56" s="2083" t="s">
        <v>1617</v>
      </c>
      <c r="C56" s="2083"/>
      <c r="D56" s="2083"/>
      <c r="E56" s="10"/>
      <c r="F56" s="2079" t="s">
        <v>2126</v>
      </c>
      <c r="G56" s="2079"/>
      <c r="H56" s="10"/>
      <c r="I56" s="10"/>
      <c r="J56" s="10"/>
      <c r="K56" s="10"/>
      <c r="M56" s="2080"/>
      <c r="N56" s="2080"/>
      <c r="O56" s="2080"/>
    </row>
  </sheetData>
  <mergeCells count="12">
    <mergeCell ref="B55:K55"/>
    <mergeCell ref="Q55:R55"/>
    <mergeCell ref="B56:D56"/>
    <mergeCell ref="F56:G56"/>
    <mergeCell ref="M56:O56"/>
    <mergeCell ref="V3:V4"/>
    <mergeCell ref="A3:A4"/>
    <mergeCell ref="A1:K1"/>
    <mergeCell ref="U1:V1"/>
    <mergeCell ref="J2:K2"/>
    <mergeCell ref="U2:V2"/>
    <mergeCell ref="L1:T1"/>
  </mergeCells>
  <phoneticPr fontId="43" type="noConversion"/>
  <pageMargins left="0.62992125984252001" right="0.511811023622047" top="0.511811023622047" bottom="0.511811023622047" header="0.25" footer="0"/>
  <pageSetup paperSize="448" firstPageNumber="48" orientation="portrait" useFirstPageNumber="1" r:id="rId1"/>
  <headerFooter>
    <oddFooter>&amp;C&amp;"Times New Roman,Regular"&amp;8&amp;P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2"/>
  <dimension ref="A1:X72"/>
  <sheetViews>
    <sheetView zoomScale="160" zoomScaleNormal="160" workbookViewId="0">
      <pane xSplit="1" ySplit="5" topLeftCell="B49" activePane="bottomRight" state="frozen"/>
      <selection activeCell="F85" sqref="F85"/>
      <selection pane="topRight" activeCell="F85" sqref="F85"/>
      <selection pane="bottomLeft" activeCell="F85" sqref="F85"/>
      <selection pane="bottomRight" activeCell="E52" sqref="E52"/>
    </sheetView>
  </sheetViews>
  <sheetFormatPr defaultColWidth="9.140625" defaultRowHeight="11.25"/>
  <cols>
    <col min="1" max="1" width="8.5703125" style="8" customWidth="1"/>
    <col min="2" max="2" width="7" style="8" customWidth="1"/>
    <col min="3" max="3" width="7.28515625" style="8" customWidth="1"/>
    <col min="4" max="4" width="7.42578125" style="8" customWidth="1"/>
    <col min="5" max="5" width="7.7109375" style="8" customWidth="1"/>
    <col min="6" max="6" width="7" style="8" customWidth="1"/>
    <col min="7" max="7" width="6.5703125" style="8" customWidth="1"/>
    <col min="8" max="9" width="7.28515625" style="8" customWidth="1"/>
    <col min="10" max="10" width="7.42578125" style="8" customWidth="1"/>
    <col min="11" max="11" width="7.5703125" style="8" customWidth="1"/>
    <col min="12" max="12" width="7.7109375" style="8" customWidth="1"/>
    <col min="13" max="13" width="7" style="8" customWidth="1"/>
    <col min="14" max="14" width="7.28515625" style="8" customWidth="1"/>
    <col min="15" max="16" width="7.140625" style="8" customWidth="1"/>
    <col min="17" max="17" width="7" style="8" customWidth="1"/>
    <col min="18" max="18" width="7.28515625" style="8" customWidth="1"/>
    <col min="19" max="19" width="7.85546875" style="8" customWidth="1"/>
    <col min="20" max="20" width="4.5703125" style="8" hidden="1" customWidth="1"/>
    <col min="21" max="21" width="7.42578125" style="8" customWidth="1"/>
    <col min="22" max="22" width="7" style="8" customWidth="1"/>
    <col min="23" max="23" width="6.85546875" style="8" customWidth="1"/>
    <col min="24" max="16384" width="9.140625" style="8"/>
  </cols>
  <sheetData>
    <row r="1" spans="1:24" s="42" customFormat="1" ht="14.25" customHeight="1">
      <c r="B1" s="1764" t="s">
        <v>285</v>
      </c>
      <c r="C1" s="1764"/>
      <c r="D1" s="1764"/>
      <c r="E1" s="1764"/>
      <c r="F1" s="1764"/>
      <c r="G1" s="1764"/>
      <c r="H1" s="1764"/>
      <c r="I1" s="1764"/>
      <c r="J1" s="1764"/>
      <c r="K1" s="1764"/>
      <c r="L1" s="2073" t="s">
        <v>286</v>
      </c>
      <c r="M1" s="2073"/>
      <c r="N1" s="2073"/>
      <c r="O1" s="2073"/>
      <c r="P1" s="43"/>
      <c r="Q1" s="43"/>
      <c r="R1" s="43"/>
      <c r="U1" s="1764" t="s">
        <v>1449</v>
      </c>
      <c r="V1" s="1764"/>
      <c r="W1" s="1764"/>
    </row>
    <row r="2" spans="1:24" ht="12" customHeight="1">
      <c r="B2" s="1211"/>
      <c r="C2" s="1211"/>
      <c r="D2" s="2085"/>
      <c r="E2" s="2085"/>
      <c r="F2" s="120"/>
      <c r="G2" s="120"/>
      <c r="H2" s="120"/>
      <c r="I2" s="120"/>
      <c r="J2" s="2086" t="s">
        <v>165</v>
      </c>
      <c r="K2" s="2086"/>
      <c r="L2" s="2088" t="s">
        <v>1632</v>
      </c>
      <c r="M2" s="2088"/>
      <c r="N2" s="2088"/>
      <c r="O2" s="2088"/>
      <c r="P2" s="2088"/>
      <c r="S2" s="1211"/>
      <c r="T2" s="1211"/>
      <c r="V2" s="2087" t="s">
        <v>2062</v>
      </c>
      <c r="W2" s="2087"/>
    </row>
    <row r="3" spans="1:24" ht="13.5" customHeight="1">
      <c r="A3" s="2091" t="s">
        <v>663</v>
      </c>
      <c r="B3" s="2084" t="s">
        <v>287</v>
      </c>
      <c r="C3" s="2084" t="s">
        <v>288</v>
      </c>
      <c r="D3" s="2084" t="s">
        <v>289</v>
      </c>
      <c r="E3" s="2084" t="s">
        <v>406</v>
      </c>
      <c r="F3" s="2084" t="s">
        <v>407</v>
      </c>
      <c r="G3" s="2084" t="s">
        <v>417</v>
      </c>
      <c r="H3" s="2084" t="s">
        <v>290</v>
      </c>
      <c r="I3" s="2084" t="s">
        <v>291</v>
      </c>
      <c r="J3" s="2084" t="s">
        <v>292</v>
      </c>
      <c r="K3" s="2084" t="s">
        <v>1831</v>
      </c>
      <c r="L3" s="2084" t="s">
        <v>416</v>
      </c>
      <c r="M3" s="2084" t="s">
        <v>293</v>
      </c>
      <c r="N3" s="2084" t="s">
        <v>294</v>
      </c>
      <c r="O3" s="2084" t="s">
        <v>1102</v>
      </c>
      <c r="P3" s="2084" t="s">
        <v>409</v>
      </c>
      <c r="Q3" s="2084" t="s">
        <v>1104</v>
      </c>
      <c r="R3" s="2084" t="s">
        <v>1832</v>
      </c>
      <c r="S3" s="2092" t="s">
        <v>295</v>
      </c>
      <c r="T3" s="2093"/>
      <c r="U3" s="2093"/>
      <c r="V3" s="2093"/>
      <c r="W3" s="2094"/>
    </row>
    <row r="4" spans="1:24" s="121" customFormat="1" ht="74.25" customHeight="1">
      <c r="A4" s="1800"/>
      <c r="B4" s="2084"/>
      <c r="C4" s="2084"/>
      <c r="D4" s="2084"/>
      <c r="E4" s="2084"/>
      <c r="F4" s="2084"/>
      <c r="G4" s="2084"/>
      <c r="H4" s="2084"/>
      <c r="I4" s="2084"/>
      <c r="J4" s="2084"/>
      <c r="K4" s="2084"/>
      <c r="L4" s="2084"/>
      <c r="M4" s="2084"/>
      <c r="N4" s="2084"/>
      <c r="O4" s="2084"/>
      <c r="P4" s="2084"/>
      <c r="Q4" s="2084"/>
      <c r="R4" s="2084"/>
      <c r="S4" s="2095" t="s">
        <v>287</v>
      </c>
      <c r="T4" s="2096"/>
      <c r="U4" s="1218" t="s">
        <v>293</v>
      </c>
      <c r="V4" s="1219" t="s">
        <v>296</v>
      </c>
      <c r="W4" s="1219" t="s">
        <v>408</v>
      </c>
    </row>
    <row r="5" spans="1:24" s="124" customFormat="1" ht="9.75" customHeight="1">
      <c r="A5" s="1801"/>
      <c r="B5" s="1213">
        <v>1</v>
      </c>
      <c r="C5" s="1213">
        <v>2</v>
      </c>
      <c r="D5" s="1213">
        <v>3</v>
      </c>
      <c r="E5" s="1213">
        <v>4</v>
      </c>
      <c r="F5" s="1213">
        <v>5</v>
      </c>
      <c r="G5" s="1213">
        <v>6</v>
      </c>
      <c r="H5" s="1213">
        <v>7</v>
      </c>
      <c r="I5" s="1213">
        <v>8</v>
      </c>
      <c r="J5" s="1213">
        <v>9</v>
      </c>
      <c r="K5" s="1213">
        <v>10</v>
      </c>
      <c r="L5" s="1213">
        <v>11</v>
      </c>
      <c r="M5" s="1213">
        <v>12</v>
      </c>
      <c r="N5" s="1213">
        <v>13</v>
      </c>
      <c r="O5" s="1213">
        <v>14</v>
      </c>
      <c r="P5" s="1213">
        <v>15</v>
      </c>
      <c r="Q5" s="1213">
        <v>16</v>
      </c>
      <c r="R5" s="1213">
        <v>17</v>
      </c>
      <c r="S5" s="2097">
        <v>18</v>
      </c>
      <c r="T5" s="2097"/>
      <c r="U5" s="1213">
        <v>19</v>
      </c>
      <c r="V5" s="1213">
        <v>20</v>
      </c>
      <c r="W5" s="1213">
        <v>21</v>
      </c>
    </row>
    <row r="6" spans="1:24" s="121" customFormat="1" ht="10.35" customHeight="1">
      <c r="A6" s="1221" t="s">
        <v>734</v>
      </c>
      <c r="B6" s="1216" t="s">
        <v>297</v>
      </c>
      <c r="C6" s="1216">
        <v>317163</v>
      </c>
      <c r="D6" s="1216">
        <v>2158</v>
      </c>
      <c r="E6" s="1216">
        <v>319322</v>
      </c>
      <c r="F6" s="1216">
        <v>244570</v>
      </c>
      <c r="G6" s="1216">
        <v>81.790000000000006</v>
      </c>
      <c r="H6" s="1216">
        <v>56010</v>
      </c>
      <c r="I6" s="1216">
        <v>74752</v>
      </c>
      <c r="J6" s="1216">
        <v>24.45</v>
      </c>
      <c r="K6" s="1216">
        <v>70352</v>
      </c>
      <c r="L6" s="1216">
        <v>23.41</v>
      </c>
      <c r="M6" s="1216">
        <v>237101</v>
      </c>
      <c r="N6" s="1216">
        <v>250182</v>
      </c>
      <c r="O6" s="1216">
        <v>10.02</v>
      </c>
      <c r="P6" s="1216">
        <v>5.26</v>
      </c>
      <c r="Q6" s="1216">
        <v>127</v>
      </c>
      <c r="R6" s="1216">
        <v>13.34</v>
      </c>
      <c r="S6" s="2090">
        <v>22532</v>
      </c>
      <c r="T6" s="2090"/>
      <c r="U6" s="1216">
        <v>17774</v>
      </c>
      <c r="V6" s="1216">
        <v>23773</v>
      </c>
      <c r="W6" s="1216">
        <v>18754</v>
      </c>
      <c r="X6" s="1226"/>
    </row>
    <row r="7" spans="1:24" s="121" customFormat="1" ht="10.35" customHeight="1">
      <c r="A7" s="493"/>
      <c r="B7" s="1217" t="s">
        <v>298</v>
      </c>
      <c r="C7" s="1217" t="s">
        <v>299</v>
      </c>
      <c r="D7" s="1217" t="s">
        <v>300</v>
      </c>
      <c r="E7" s="1217" t="s">
        <v>301</v>
      </c>
      <c r="F7" s="1217" t="s">
        <v>302</v>
      </c>
      <c r="G7" s="1217"/>
      <c r="H7" s="1217" t="s">
        <v>303</v>
      </c>
      <c r="I7" s="1217" t="s">
        <v>304</v>
      </c>
      <c r="J7" s="1217"/>
      <c r="K7" s="1217" t="s">
        <v>305</v>
      </c>
      <c r="L7" s="1217"/>
      <c r="M7" s="1217"/>
      <c r="N7" s="1217"/>
      <c r="O7" s="1217"/>
      <c r="P7" s="1217"/>
      <c r="Q7" s="1217"/>
      <c r="R7" s="1217"/>
      <c r="S7" s="2089" t="s">
        <v>306</v>
      </c>
      <c r="T7" s="2089"/>
      <c r="U7" s="1217"/>
      <c r="V7" s="1217" t="s">
        <v>307</v>
      </c>
      <c r="W7" s="1217"/>
      <c r="X7" s="1226"/>
    </row>
    <row r="8" spans="1:24" s="121" customFormat="1" ht="10.35" customHeight="1">
      <c r="A8" s="1221" t="s">
        <v>735</v>
      </c>
      <c r="B8" s="1216" t="s">
        <v>308</v>
      </c>
      <c r="C8" s="1216">
        <v>350526</v>
      </c>
      <c r="D8" s="1216">
        <v>2121</v>
      </c>
      <c r="E8" s="1216">
        <v>352647</v>
      </c>
      <c r="F8" s="1216">
        <v>267927</v>
      </c>
      <c r="G8" s="1216">
        <v>80.739999999999995</v>
      </c>
      <c r="H8" s="1216">
        <v>65046</v>
      </c>
      <c r="I8" s="1216">
        <v>84719</v>
      </c>
      <c r="J8" s="1216">
        <v>25.44</v>
      </c>
      <c r="K8" s="1216">
        <v>79991</v>
      </c>
      <c r="L8" s="1216">
        <v>24.02</v>
      </c>
      <c r="M8" s="1216">
        <v>251968</v>
      </c>
      <c r="N8" s="1216">
        <v>265251</v>
      </c>
      <c r="O8" s="1216">
        <v>10.78</v>
      </c>
      <c r="P8" s="1216">
        <v>6.27</v>
      </c>
      <c r="Q8" s="1216">
        <v>132</v>
      </c>
      <c r="R8" s="1216">
        <v>13.52</v>
      </c>
      <c r="S8" s="2090">
        <v>24628</v>
      </c>
      <c r="T8" s="2090"/>
      <c r="U8" s="1216">
        <v>18637</v>
      </c>
      <c r="V8" s="1216">
        <v>25926</v>
      </c>
      <c r="W8" s="1216">
        <v>19619</v>
      </c>
      <c r="X8" s="1226"/>
    </row>
    <row r="9" spans="1:24" s="121" customFormat="1" ht="10.35" customHeight="1">
      <c r="A9" s="493"/>
      <c r="B9" s="1217" t="s">
        <v>309</v>
      </c>
      <c r="C9" s="1217" t="s">
        <v>310</v>
      </c>
      <c r="D9" s="1217" t="s">
        <v>311</v>
      </c>
      <c r="E9" s="1217" t="s">
        <v>312</v>
      </c>
      <c r="F9" s="1217" t="s">
        <v>313</v>
      </c>
      <c r="G9" s="1217"/>
      <c r="H9" s="1217" t="s">
        <v>314</v>
      </c>
      <c r="I9" s="1217" t="s">
        <v>315</v>
      </c>
      <c r="J9" s="1217"/>
      <c r="K9" s="1217" t="s">
        <v>316</v>
      </c>
      <c r="L9" s="1217"/>
      <c r="M9" s="1217"/>
      <c r="N9" s="1217"/>
      <c r="O9" s="1217"/>
      <c r="P9" s="1217"/>
      <c r="Q9" s="1217"/>
      <c r="R9" s="1217"/>
      <c r="S9" s="2089" t="s">
        <v>317</v>
      </c>
      <c r="T9" s="2089"/>
      <c r="U9" s="1217"/>
      <c r="V9" s="1217" t="s">
        <v>318</v>
      </c>
      <c r="W9" s="1217"/>
      <c r="X9" s="1226"/>
    </row>
    <row r="10" spans="1:24" s="121" customFormat="1" ht="10.35" customHeight="1">
      <c r="A10" s="1221" t="s">
        <v>736</v>
      </c>
      <c r="B10" s="1216">
        <v>370707</v>
      </c>
      <c r="C10" s="1216">
        <v>389635</v>
      </c>
      <c r="D10" s="1216">
        <v>2681</v>
      </c>
      <c r="E10" s="1216">
        <v>392316</v>
      </c>
      <c r="F10" s="1216">
        <v>296512</v>
      </c>
      <c r="G10" s="1216">
        <v>79.989999999999995</v>
      </c>
      <c r="H10" s="1216">
        <v>74195</v>
      </c>
      <c r="I10" s="1216">
        <v>95804</v>
      </c>
      <c r="J10" s="1216">
        <v>25.84</v>
      </c>
      <c r="K10" s="1216" t="s">
        <v>319</v>
      </c>
      <c r="L10" s="1216">
        <v>24.53</v>
      </c>
      <c r="M10" s="1216">
        <v>266974</v>
      </c>
      <c r="N10" s="1216">
        <v>280606</v>
      </c>
      <c r="O10" s="1216">
        <v>11.33</v>
      </c>
      <c r="P10" s="1216">
        <v>5.96</v>
      </c>
      <c r="Q10" s="1216">
        <v>139</v>
      </c>
      <c r="R10" s="1216" t="s">
        <v>320</v>
      </c>
      <c r="S10" s="2090">
        <v>27061</v>
      </c>
      <c r="T10" s="2090"/>
      <c r="U10" s="1216">
        <v>19489</v>
      </c>
      <c r="V10" s="1216">
        <v>28443</v>
      </c>
      <c r="W10" s="1216">
        <v>20484</v>
      </c>
      <c r="X10" s="1226"/>
    </row>
    <row r="11" spans="1:24" s="121" customFormat="1" ht="10.35" customHeight="1">
      <c r="A11" s="493"/>
      <c r="B11" s="1217" t="s">
        <v>321</v>
      </c>
      <c r="C11" s="1217" t="s">
        <v>322</v>
      </c>
      <c r="D11" s="1217" t="s">
        <v>323</v>
      </c>
      <c r="E11" s="1217" t="s">
        <v>324</v>
      </c>
      <c r="F11" s="1217" t="s">
        <v>325</v>
      </c>
      <c r="G11" s="1217"/>
      <c r="H11" s="1217" t="s">
        <v>326</v>
      </c>
      <c r="I11" s="1217" t="s">
        <v>327</v>
      </c>
      <c r="J11" s="1217"/>
      <c r="K11" s="1217" t="s">
        <v>328</v>
      </c>
      <c r="L11" s="1217"/>
      <c r="M11" s="1217"/>
      <c r="N11" s="1217"/>
      <c r="O11" s="1217"/>
      <c r="P11" s="1217"/>
      <c r="Q11" s="1217"/>
      <c r="R11" s="1217"/>
      <c r="S11" s="2089" t="s">
        <v>329</v>
      </c>
      <c r="T11" s="2089"/>
      <c r="U11" s="1217"/>
      <c r="V11" s="1217" t="s">
        <v>330</v>
      </c>
      <c r="W11" s="1217"/>
      <c r="X11" s="1226"/>
    </row>
    <row r="12" spans="1:24" s="121" customFormat="1" ht="10.35" customHeight="1">
      <c r="A12" s="1221" t="s">
        <v>741</v>
      </c>
      <c r="B12" s="1216">
        <v>415728</v>
      </c>
      <c r="C12" s="1216">
        <v>442935</v>
      </c>
      <c r="D12" s="1216">
        <v>3653</v>
      </c>
      <c r="E12" s="1216" t="s">
        <v>331</v>
      </c>
      <c r="F12" s="1216">
        <v>331552</v>
      </c>
      <c r="G12" s="1216">
        <v>79.75</v>
      </c>
      <c r="H12" s="1216">
        <v>84176</v>
      </c>
      <c r="I12" s="1216">
        <v>115036</v>
      </c>
      <c r="J12" s="1216">
        <v>27.67</v>
      </c>
      <c r="K12" s="1216">
        <v>102480</v>
      </c>
      <c r="L12" s="1216">
        <v>24.65</v>
      </c>
      <c r="M12" s="1216">
        <v>284673</v>
      </c>
      <c r="N12" s="1216">
        <v>303303</v>
      </c>
      <c r="O12" s="1216">
        <v>12.14</v>
      </c>
      <c r="P12" s="1216" t="s">
        <v>332</v>
      </c>
      <c r="Q12" s="1216">
        <v>146</v>
      </c>
      <c r="R12" s="1216">
        <v>13.88</v>
      </c>
      <c r="S12" s="2090">
        <v>29955</v>
      </c>
      <c r="T12" s="2090"/>
      <c r="U12" s="1216">
        <v>20512</v>
      </c>
      <c r="V12" s="1216">
        <v>31915</v>
      </c>
      <c r="W12" s="1216">
        <v>21854</v>
      </c>
      <c r="X12" s="1226"/>
    </row>
    <row r="13" spans="1:24" s="121" customFormat="1" ht="10.35" customHeight="1">
      <c r="A13" s="493"/>
      <c r="B13" s="1217" t="s">
        <v>333</v>
      </c>
      <c r="C13" s="1217" t="s">
        <v>334</v>
      </c>
      <c r="D13" s="1217" t="s">
        <v>335</v>
      </c>
      <c r="E13" s="1217" t="s">
        <v>336</v>
      </c>
      <c r="F13" s="1217" t="s">
        <v>337</v>
      </c>
      <c r="G13" s="1217"/>
      <c r="H13" s="1217" t="s">
        <v>338</v>
      </c>
      <c r="I13" s="1217" t="s">
        <v>339</v>
      </c>
      <c r="J13" s="1217"/>
      <c r="K13" s="1217" t="s">
        <v>340</v>
      </c>
      <c r="L13" s="1217"/>
      <c r="M13" s="1217"/>
      <c r="N13" s="1217"/>
      <c r="O13" s="1217"/>
      <c r="P13" s="1217"/>
      <c r="Q13" s="1217"/>
      <c r="R13" s="1217"/>
      <c r="S13" s="2089" t="s">
        <v>341</v>
      </c>
      <c r="T13" s="2089"/>
      <c r="U13" s="1217"/>
      <c r="V13" s="1217" t="s">
        <v>342</v>
      </c>
      <c r="W13" s="1217"/>
      <c r="X13" s="1226"/>
    </row>
    <row r="14" spans="1:24" s="121" customFormat="1" ht="10.35" customHeight="1">
      <c r="A14" s="436" t="s">
        <v>750</v>
      </c>
      <c r="B14" s="1216" t="s">
        <v>780</v>
      </c>
      <c r="C14" s="1216" t="s">
        <v>343</v>
      </c>
      <c r="D14" s="1216" t="s">
        <v>344</v>
      </c>
      <c r="E14" s="1216" t="s">
        <v>345</v>
      </c>
      <c r="F14" s="1216" t="s">
        <v>346</v>
      </c>
      <c r="G14" s="1216" t="s">
        <v>347</v>
      </c>
      <c r="H14" s="1216" t="s">
        <v>348</v>
      </c>
      <c r="I14" s="1216" t="s">
        <v>349</v>
      </c>
      <c r="J14" s="1216" t="s">
        <v>350</v>
      </c>
      <c r="K14" s="1216" t="s">
        <v>351</v>
      </c>
      <c r="L14" s="751" t="s">
        <v>352</v>
      </c>
      <c r="M14" s="751" t="s">
        <v>353</v>
      </c>
      <c r="N14" s="751" t="s">
        <v>354</v>
      </c>
      <c r="O14" s="751" t="s">
        <v>355</v>
      </c>
      <c r="P14" s="751" t="s">
        <v>356</v>
      </c>
      <c r="Q14" s="751" t="s">
        <v>357</v>
      </c>
      <c r="R14" s="418">
        <v>14.06</v>
      </c>
      <c r="S14" s="751" t="s">
        <v>358</v>
      </c>
      <c r="T14" s="751"/>
      <c r="U14" s="751" t="s">
        <v>359</v>
      </c>
      <c r="V14" s="751" t="s">
        <v>360</v>
      </c>
      <c r="W14" s="751" t="s">
        <v>361</v>
      </c>
      <c r="X14" s="1227"/>
    </row>
    <row r="15" spans="1:24" s="121" customFormat="1" ht="10.35" customHeight="1">
      <c r="A15" s="399"/>
      <c r="B15" s="752" t="s">
        <v>362</v>
      </c>
      <c r="C15" s="752" t="s">
        <v>363</v>
      </c>
      <c r="D15" s="752" t="s">
        <v>364</v>
      </c>
      <c r="E15" s="752" t="s">
        <v>365</v>
      </c>
      <c r="F15" s="752" t="s">
        <v>366</v>
      </c>
      <c r="G15" s="752"/>
      <c r="H15" s="752" t="s">
        <v>367</v>
      </c>
      <c r="I15" s="752" t="s">
        <v>368</v>
      </c>
      <c r="J15" s="752"/>
      <c r="K15" s="752" t="s">
        <v>369</v>
      </c>
      <c r="L15" s="752"/>
      <c r="M15" s="752"/>
      <c r="N15" s="752"/>
      <c r="O15" s="752"/>
      <c r="P15" s="752"/>
      <c r="Q15" s="752"/>
      <c r="R15" s="752"/>
      <c r="S15" s="752" t="s">
        <v>370</v>
      </c>
      <c r="T15" s="752"/>
      <c r="U15" s="752"/>
      <c r="V15" s="752" t="s">
        <v>371</v>
      </c>
      <c r="W15" s="752"/>
      <c r="X15" s="1227"/>
    </row>
    <row r="16" spans="1:24" s="121" customFormat="1" ht="10.35" customHeight="1">
      <c r="A16" s="1234" t="s">
        <v>490</v>
      </c>
      <c r="B16" s="753" t="s">
        <v>130</v>
      </c>
      <c r="C16" s="753">
        <v>594212</v>
      </c>
      <c r="D16" s="753" t="s">
        <v>372</v>
      </c>
      <c r="E16" s="753" t="s">
        <v>373</v>
      </c>
      <c r="F16" s="753" t="s">
        <v>374</v>
      </c>
      <c r="G16" s="753" t="s">
        <v>375</v>
      </c>
      <c r="H16" s="753" t="s">
        <v>376</v>
      </c>
      <c r="I16" s="753" t="s">
        <v>377</v>
      </c>
      <c r="J16" s="753" t="s">
        <v>378</v>
      </c>
      <c r="K16" s="753" t="s">
        <v>379</v>
      </c>
      <c r="L16" s="753" t="s">
        <v>380</v>
      </c>
      <c r="M16" s="753" t="s">
        <v>381</v>
      </c>
      <c r="N16" s="753">
        <v>350248</v>
      </c>
      <c r="O16" s="753" t="s">
        <v>382</v>
      </c>
      <c r="P16" s="753" t="s">
        <v>383</v>
      </c>
      <c r="Q16" s="753" t="s">
        <v>384</v>
      </c>
      <c r="R16" s="418" t="s">
        <v>385</v>
      </c>
      <c r="S16" s="591">
        <v>38330</v>
      </c>
      <c r="T16" s="753"/>
      <c r="U16" s="753" t="s">
        <v>386</v>
      </c>
      <c r="V16" s="753">
        <v>41728</v>
      </c>
      <c r="W16" s="753">
        <v>24596</v>
      </c>
      <c r="X16" s="1227"/>
    </row>
    <row r="17" spans="1:24" s="436" customFormat="1" ht="10.35" customHeight="1">
      <c r="A17" s="1229"/>
      <c r="B17" s="754">
        <v>-79565.889212827999</v>
      </c>
      <c r="C17" s="754">
        <v>-86619.825072886306</v>
      </c>
      <c r="D17" s="754">
        <v>-826.67638483965004</v>
      </c>
      <c r="E17" s="754">
        <v>-87446.501457726001</v>
      </c>
      <c r="F17" s="754">
        <v>-63406.851311953404</v>
      </c>
      <c r="G17" s="754"/>
      <c r="H17" s="754">
        <v>-16159.0379008746</v>
      </c>
      <c r="I17" s="754">
        <v>-24039.650145772601</v>
      </c>
      <c r="J17" s="754"/>
      <c r="K17" s="754">
        <v>-19261.224489795899</v>
      </c>
      <c r="L17" s="755"/>
      <c r="M17" s="755"/>
      <c r="N17" s="755"/>
      <c r="O17" s="755"/>
      <c r="P17" s="755"/>
      <c r="Q17" s="755"/>
      <c r="R17" s="755"/>
      <c r="S17" s="756">
        <v>559</v>
      </c>
      <c r="T17" s="755"/>
      <c r="U17" s="755"/>
      <c r="V17" s="754">
        <v>-608</v>
      </c>
      <c r="W17" s="755"/>
      <c r="X17" s="1230"/>
    </row>
    <row r="18" spans="1:24" s="121" customFormat="1" ht="10.35" customHeight="1">
      <c r="A18" s="1228" t="s">
        <v>87</v>
      </c>
      <c r="B18" s="753">
        <v>614795</v>
      </c>
      <c r="C18" s="753">
        <v>670696</v>
      </c>
      <c r="D18" s="753">
        <v>2407</v>
      </c>
      <c r="E18" s="753">
        <v>673103</v>
      </c>
      <c r="F18" s="753">
        <v>491291</v>
      </c>
      <c r="G18" s="418">
        <v>79.91</v>
      </c>
      <c r="H18" s="753">
        <v>123504</v>
      </c>
      <c r="I18" s="753">
        <v>181812</v>
      </c>
      <c r="J18" s="753">
        <v>29.57</v>
      </c>
      <c r="K18" s="753">
        <v>149839</v>
      </c>
      <c r="L18" s="753">
        <v>24.37</v>
      </c>
      <c r="M18" s="753">
        <v>340197</v>
      </c>
      <c r="N18" s="753">
        <v>371130</v>
      </c>
      <c r="O18" s="753">
        <v>12.64</v>
      </c>
      <c r="P18" s="753">
        <v>5.74</v>
      </c>
      <c r="Q18" s="753">
        <v>181</v>
      </c>
      <c r="R18" s="753" t="s">
        <v>387</v>
      </c>
      <c r="S18" s="753">
        <v>42628</v>
      </c>
      <c r="T18" s="753"/>
      <c r="U18" s="753">
        <v>23588</v>
      </c>
      <c r="V18" s="753">
        <v>46504</v>
      </c>
      <c r="W18" s="753">
        <v>25733</v>
      </c>
      <c r="X18" s="1226"/>
    </row>
    <row r="19" spans="1:24" s="121" customFormat="1" ht="10.35" customHeight="1">
      <c r="A19" s="399"/>
      <c r="B19" s="756">
        <f>(B18/68.8)*10</f>
        <v>89359.738372093037</v>
      </c>
      <c r="C19" s="756">
        <f>(C18/68.8)*10</f>
        <v>97484.883720930229</v>
      </c>
      <c r="D19" s="756">
        <f>(D18/68.8)*10</f>
        <v>349.85465116279073</v>
      </c>
      <c r="E19" s="756">
        <f>(E18/68.8)*10</f>
        <v>97834.738372093037</v>
      </c>
      <c r="F19" s="756">
        <f>(F18/68.8)*10</f>
        <v>71408.575581395358</v>
      </c>
      <c r="G19" s="756"/>
      <c r="H19" s="756">
        <f>(H18/68.8)*10</f>
        <v>17951.162790697676</v>
      </c>
      <c r="I19" s="756">
        <f>(I18/68.8)*10</f>
        <v>26426.162790697676</v>
      </c>
      <c r="J19" s="756"/>
      <c r="K19" s="756">
        <f>(K18/68.8)*10</f>
        <v>21778.924418604653</v>
      </c>
      <c r="L19" s="752"/>
      <c r="M19" s="752"/>
      <c r="N19" s="752"/>
      <c r="O19" s="752"/>
      <c r="P19" s="752"/>
      <c r="Q19" s="752"/>
      <c r="R19" s="752"/>
      <c r="S19" s="756">
        <f>(S18/68.8)</f>
        <v>619.59302325581393</v>
      </c>
      <c r="T19" s="752"/>
      <c r="U19" s="752"/>
      <c r="V19" s="756">
        <f>(V18/68.8)</f>
        <v>675.93023255813955</v>
      </c>
      <c r="W19" s="752"/>
      <c r="X19" s="1226"/>
    </row>
    <row r="20" spans="1:24" s="121" customFormat="1" ht="10.35" customHeight="1">
      <c r="A20" s="436" t="s">
        <v>83</v>
      </c>
      <c r="B20" s="757">
        <v>694324</v>
      </c>
      <c r="C20" s="758">
        <v>758928</v>
      </c>
      <c r="D20" s="758">
        <v>4248</v>
      </c>
      <c r="E20" s="758">
        <v>763176</v>
      </c>
      <c r="F20" s="758">
        <v>554771</v>
      </c>
      <c r="G20" s="418">
        <f>(F20/B20)*100</f>
        <v>79.900882008975643</v>
      </c>
      <c r="H20" s="758">
        <v>139553</v>
      </c>
      <c r="I20" s="758">
        <v>208405</v>
      </c>
      <c r="J20" s="418">
        <f>(I20/B20)*100</f>
        <v>30.015525892810853</v>
      </c>
      <c r="K20" s="758">
        <v>169511</v>
      </c>
      <c r="L20" s="418">
        <f>(K20/B20)*100</f>
        <v>24.413818332651616</v>
      </c>
      <c r="M20" s="751" t="s">
        <v>892</v>
      </c>
      <c r="N20" s="751" t="s">
        <v>897</v>
      </c>
      <c r="O20" s="751" t="s">
        <v>893</v>
      </c>
      <c r="P20" s="751" t="s">
        <v>894</v>
      </c>
      <c r="Q20" s="751" t="s">
        <v>147</v>
      </c>
      <c r="R20" s="751" t="s">
        <v>146</v>
      </c>
      <c r="S20" s="751" t="s">
        <v>895</v>
      </c>
      <c r="T20" s="751"/>
      <c r="U20" s="751" t="s">
        <v>898</v>
      </c>
      <c r="V20" s="751" t="s">
        <v>896</v>
      </c>
      <c r="W20" s="751" t="s">
        <v>899</v>
      </c>
      <c r="X20" s="1226"/>
    </row>
    <row r="21" spans="1:24" s="436" customFormat="1" ht="10.35" customHeight="1">
      <c r="A21" s="399"/>
      <c r="B21" s="756">
        <f>(B20/69.18)*10</f>
        <v>100364.84533102051</v>
      </c>
      <c r="C21" s="756">
        <f t="shared" ref="C21:K21" si="0">(C20/69.18)*10</f>
        <v>109703.38248048567</v>
      </c>
      <c r="D21" s="756">
        <f t="shared" si="0"/>
        <v>614.0503035559409</v>
      </c>
      <c r="E21" s="756">
        <f t="shared" si="0"/>
        <v>110317.43278404161</v>
      </c>
      <c r="F21" s="756">
        <f t="shared" si="0"/>
        <v>80192.396646429595</v>
      </c>
      <c r="G21" s="756"/>
      <c r="H21" s="756">
        <f t="shared" si="0"/>
        <v>20172.44868459092</v>
      </c>
      <c r="I21" s="756">
        <f t="shared" si="0"/>
        <v>30125.036137612024</v>
      </c>
      <c r="J21" s="756"/>
      <c r="K21" s="756">
        <f t="shared" si="0"/>
        <v>24502.891008962124</v>
      </c>
      <c r="L21" s="752"/>
      <c r="M21" s="752"/>
      <c r="N21" s="752"/>
      <c r="O21" s="752"/>
      <c r="P21" s="752"/>
      <c r="Q21" s="752"/>
      <c r="R21" s="752"/>
      <c r="S21" s="756">
        <f>S20/69.18</f>
        <v>687.13501011853134</v>
      </c>
      <c r="T21" s="752"/>
      <c r="U21" s="752"/>
      <c r="V21" s="756">
        <f>V20/69.18</f>
        <v>751.06967331598719</v>
      </c>
      <c r="W21" s="752"/>
      <c r="X21" s="1230"/>
    </row>
    <row r="22" spans="1:24" s="436" customFormat="1" ht="10.35" customHeight="1">
      <c r="A22" s="436" t="s">
        <v>225</v>
      </c>
      <c r="B22" s="753">
        <v>796704</v>
      </c>
      <c r="C22" s="753">
        <v>869217</v>
      </c>
      <c r="D22" s="753">
        <v>3101</v>
      </c>
      <c r="E22" s="753">
        <v>872319</v>
      </c>
      <c r="F22" s="753">
        <v>643022</v>
      </c>
      <c r="G22" s="418">
        <f>(F22/B22)*100</f>
        <v>80.710276338514689</v>
      </c>
      <c r="H22" s="753">
        <v>153682</v>
      </c>
      <c r="I22" s="753">
        <v>229297</v>
      </c>
      <c r="J22" s="418">
        <f>(I22/B22)*100</f>
        <v>28.780701490139375</v>
      </c>
      <c r="K22" s="753">
        <v>200378</v>
      </c>
      <c r="L22" s="418">
        <f>(K22/B22)*100</f>
        <v>25.150871590954733</v>
      </c>
      <c r="M22" s="751" t="s">
        <v>1093</v>
      </c>
      <c r="N22" s="751" t="s">
        <v>1100</v>
      </c>
      <c r="O22" s="751" t="s">
        <v>1094</v>
      </c>
      <c r="P22" s="751" t="s">
        <v>1095</v>
      </c>
      <c r="Q22" s="759" t="s">
        <v>1098</v>
      </c>
      <c r="R22" s="751" t="s">
        <v>1096</v>
      </c>
      <c r="S22" s="753">
        <v>53238</v>
      </c>
      <c r="T22" s="751"/>
      <c r="U22" s="759" t="s">
        <v>1099</v>
      </c>
      <c r="V22" s="753">
        <v>58083</v>
      </c>
      <c r="W22" s="751" t="s">
        <v>1101</v>
      </c>
      <c r="X22" s="1231"/>
    </row>
    <row r="23" spans="1:24" s="436" customFormat="1" ht="10.35" customHeight="1">
      <c r="A23" s="399"/>
      <c r="B23" s="756">
        <f>(B22/71.17)*10</f>
        <v>111943.79654348742</v>
      </c>
      <c r="C23" s="756">
        <f>(C22/71.17)*10</f>
        <v>122132.49964872839</v>
      </c>
      <c r="D23" s="756">
        <f>(D22/71.17)*10</f>
        <v>435.71729661374172</v>
      </c>
      <c r="E23" s="756">
        <f>(E22/71.17)*10</f>
        <v>122568.35745398341</v>
      </c>
      <c r="F23" s="756">
        <f>(F22/71.17)*10</f>
        <v>90350.147534073345</v>
      </c>
      <c r="G23" s="756"/>
      <c r="H23" s="756">
        <f>(H22/71.17)*10</f>
        <v>21593.649009414079</v>
      </c>
      <c r="I23" s="756">
        <f>(I22/71.17)*10</f>
        <v>32218.209919910074</v>
      </c>
      <c r="J23" s="756"/>
      <c r="K23" s="756">
        <f>(K22/71.17)*10</f>
        <v>28154.840522692142</v>
      </c>
      <c r="L23" s="752"/>
      <c r="M23" s="752"/>
      <c r="N23" s="752"/>
      <c r="O23" s="752"/>
      <c r="P23" s="752"/>
      <c r="Q23" s="752"/>
      <c r="R23" s="752"/>
      <c r="S23" s="756">
        <f>S22/71.17</f>
        <v>748.03990445412387</v>
      </c>
      <c r="T23" s="752"/>
      <c r="U23" s="752"/>
      <c r="V23" s="756">
        <f>V22/71.17</f>
        <v>816.116341154981</v>
      </c>
      <c r="W23" s="752"/>
      <c r="X23" s="1230"/>
    </row>
    <row r="24" spans="1:24" s="436" customFormat="1" ht="10.35" customHeight="1">
      <c r="A24" s="436" t="s">
        <v>972</v>
      </c>
      <c r="B24" s="748">
        <v>918141</v>
      </c>
      <c r="C24" s="753">
        <v>1007443</v>
      </c>
      <c r="D24" s="753">
        <v>1791</v>
      </c>
      <c r="E24" s="753">
        <v>1009234</v>
      </c>
      <c r="F24" s="753">
        <v>741287</v>
      </c>
      <c r="G24" s="418">
        <f>(F24/B24)*100</f>
        <v>80.73781695839746</v>
      </c>
      <c r="H24" s="753">
        <v>176854</v>
      </c>
      <c r="I24" s="753">
        <v>267947</v>
      </c>
      <c r="J24" s="418">
        <f>(I24/B24)*100</f>
        <v>29.183643906545942</v>
      </c>
      <c r="K24" s="753">
        <v>243691</v>
      </c>
      <c r="L24" s="418">
        <f>(K24/B24)*100</f>
        <v>26.541783887224295</v>
      </c>
      <c r="M24" s="751">
        <v>409053</v>
      </c>
      <c r="N24" s="751" t="s">
        <v>1331</v>
      </c>
      <c r="O24" s="751" t="s">
        <v>1327</v>
      </c>
      <c r="P24" s="751" t="s">
        <v>1328</v>
      </c>
      <c r="Q24" s="751" t="s">
        <v>1332</v>
      </c>
      <c r="R24" s="751" t="s">
        <v>1097</v>
      </c>
      <c r="S24" s="753">
        <v>60571</v>
      </c>
      <c r="T24" s="751"/>
      <c r="U24" s="751" t="s">
        <v>1333</v>
      </c>
      <c r="V24" s="753">
        <v>66463</v>
      </c>
      <c r="W24" s="751" t="s">
        <v>1334</v>
      </c>
      <c r="X24" s="1230"/>
    </row>
    <row r="25" spans="1:24" s="436" customFormat="1" ht="10.35" customHeight="1">
      <c r="A25" s="399"/>
      <c r="B25" s="756">
        <f>(B24/79.1)*10</f>
        <v>116073.45132743364</v>
      </c>
      <c r="C25" s="756">
        <f>(C24/79.1)*10</f>
        <v>127363.21112515804</v>
      </c>
      <c r="D25" s="756">
        <f>(D24/79.1)*10</f>
        <v>226.42225031605562</v>
      </c>
      <c r="E25" s="756">
        <f>(E24/79.1)*10</f>
        <v>127589.63337547409</v>
      </c>
      <c r="F25" s="756">
        <f>(F24/79.1)*10</f>
        <v>93715.170670037929</v>
      </c>
      <c r="G25" s="756"/>
      <c r="H25" s="756">
        <f>(H24/79.1)*10</f>
        <v>22358.280657395702</v>
      </c>
      <c r="I25" s="756">
        <f>(I24/79.1)*10</f>
        <v>33874.462705436155</v>
      </c>
      <c r="J25" s="756"/>
      <c r="K25" s="756">
        <f>(K24/79.1)*10</f>
        <v>30807.964601769912</v>
      </c>
      <c r="L25" s="752"/>
      <c r="M25" s="752"/>
      <c r="N25" s="752"/>
      <c r="O25" s="752"/>
      <c r="P25" s="752"/>
      <c r="Q25" s="752"/>
      <c r="R25" s="752"/>
      <c r="S25" s="756">
        <f>S24/79.1</f>
        <v>765.75221238938059</v>
      </c>
      <c r="T25" s="752"/>
      <c r="U25" s="752"/>
      <c r="V25" s="756">
        <f>V24/79.1</f>
        <v>840.24020227560061</v>
      </c>
      <c r="W25" s="752"/>
      <c r="X25" s="1230"/>
    </row>
    <row r="26" spans="1:24" s="436" customFormat="1" ht="10.35" customHeight="1">
      <c r="A26" s="436" t="s">
        <v>1523</v>
      </c>
      <c r="B26" s="591">
        <v>482337</v>
      </c>
      <c r="C26" s="753">
        <v>509545</v>
      </c>
      <c r="D26" s="753">
        <v>3653</v>
      </c>
      <c r="E26" s="753">
        <v>513197</v>
      </c>
      <c r="F26" s="753">
        <v>378940</v>
      </c>
      <c r="G26" s="418">
        <f>(F26/B26)*100</f>
        <v>78.563328129502821</v>
      </c>
      <c r="H26" s="753">
        <v>103397</v>
      </c>
      <c r="I26" s="753">
        <v>134257</v>
      </c>
      <c r="J26" s="418">
        <f>(I26/B26)*100</f>
        <v>27.834688195183038</v>
      </c>
      <c r="K26" s="753">
        <v>126103</v>
      </c>
      <c r="L26" s="418">
        <f>(K26/B26)*100</f>
        <v>26.144168910948157</v>
      </c>
      <c r="M26" s="751" t="s">
        <v>1524</v>
      </c>
      <c r="N26" s="751" t="s">
        <v>1529</v>
      </c>
      <c r="O26" s="751" t="s">
        <v>893</v>
      </c>
      <c r="P26" s="751" t="s">
        <v>1538</v>
      </c>
      <c r="Q26" s="993">
        <f>(B26/M26)*100</f>
        <v>100</v>
      </c>
      <c r="R26" s="751" t="s">
        <v>1542</v>
      </c>
      <c r="S26" s="753">
        <v>34502</v>
      </c>
      <c r="T26" s="751"/>
      <c r="U26" s="751" t="s">
        <v>1548</v>
      </c>
      <c r="V26" s="753">
        <v>36448</v>
      </c>
      <c r="W26" s="751" t="s">
        <v>1547</v>
      </c>
      <c r="X26" s="1230"/>
    </row>
    <row r="27" spans="1:24" s="436" customFormat="1" ht="10.35" customHeight="1">
      <c r="A27" s="399"/>
      <c r="B27" s="756">
        <f>(B26/67.08)*10</f>
        <v>71904.740608228982</v>
      </c>
      <c r="C27" s="756">
        <f>(C26/67.08)*10</f>
        <v>75960.793082886114</v>
      </c>
      <c r="D27" s="756">
        <f>(D26/67.08)*10</f>
        <v>544.5736434108527</v>
      </c>
      <c r="E27" s="756">
        <f>(E26/67.08)*10</f>
        <v>76505.217650566497</v>
      </c>
      <c r="F27" s="756">
        <f>(F26/67.08)*10</f>
        <v>56490.757304710794</v>
      </c>
      <c r="G27" s="756"/>
      <c r="H27" s="756">
        <f>(H26/67.08)*10</f>
        <v>15413.983303518187</v>
      </c>
      <c r="I27" s="756">
        <f>(I26/67.08)*10</f>
        <v>20014.460345855696</v>
      </c>
      <c r="J27" s="756"/>
      <c r="K27" s="756">
        <f>(K26/67.08)*10</f>
        <v>18798.896839594516</v>
      </c>
      <c r="L27" s="752"/>
      <c r="M27" s="752"/>
      <c r="N27" s="752"/>
      <c r="O27" s="752"/>
      <c r="P27" s="752"/>
      <c r="Q27" s="752"/>
      <c r="R27" s="752"/>
      <c r="S27" s="756">
        <f>S26/67.08</f>
        <v>514.34108527131787</v>
      </c>
      <c r="T27" s="752"/>
      <c r="U27" s="752"/>
      <c r="V27" s="756">
        <f>V26/67.08</f>
        <v>543.35122242098987</v>
      </c>
      <c r="W27" s="752"/>
      <c r="X27" s="1230"/>
    </row>
    <row r="28" spans="1:24" s="436" customFormat="1" ht="10.35" customHeight="1">
      <c r="A28" s="322" t="s">
        <v>750</v>
      </c>
      <c r="B28" s="591">
        <v>549800</v>
      </c>
      <c r="C28" s="753">
        <v>585075</v>
      </c>
      <c r="D28" s="753">
        <v>3989</v>
      </c>
      <c r="E28" s="753">
        <v>589064</v>
      </c>
      <c r="F28" s="753">
        <v>435731</v>
      </c>
      <c r="G28" s="418">
        <f>(F28/B28)*100</f>
        <v>79.252637322662792</v>
      </c>
      <c r="H28" s="753">
        <v>114069</v>
      </c>
      <c r="I28" s="753">
        <v>153333</v>
      </c>
      <c r="J28" s="418">
        <f>(I28/B28)*100</f>
        <v>27.888868679519824</v>
      </c>
      <c r="K28" s="753">
        <v>143929</v>
      </c>
      <c r="L28" s="418">
        <f>(K28/B28)*100</f>
        <v>26.178428519461622</v>
      </c>
      <c r="M28" s="751" t="s">
        <v>1525</v>
      </c>
      <c r="N28" s="751" t="s">
        <v>1530</v>
      </c>
      <c r="O28" s="751" t="s">
        <v>1534</v>
      </c>
      <c r="P28" s="751" t="s">
        <v>1539</v>
      </c>
      <c r="Q28" s="993">
        <f>(B28/M28)*100</f>
        <v>106.47135943669718</v>
      </c>
      <c r="R28" s="751" t="s">
        <v>1543</v>
      </c>
      <c r="S28" s="753">
        <v>38773</v>
      </c>
      <c r="T28" s="751"/>
      <c r="U28" s="751" t="s">
        <v>1549</v>
      </c>
      <c r="V28" s="753">
        <v>41261</v>
      </c>
      <c r="W28" s="751" t="s">
        <v>1553</v>
      </c>
      <c r="X28" s="1230"/>
    </row>
    <row r="29" spans="1:24" s="436" customFormat="1" ht="10.35" customHeight="1">
      <c r="A29" s="399"/>
      <c r="B29" s="756">
        <f>(B28/69.03)*10</f>
        <v>79646.530493988117</v>
      </c>
      <c r="C29" s="756">
        <f>(C28/69.03)*10</f>
        <v>84756.627553237719</v>
      </c>
      <c r="D29" s="756">
        <f>(D28/69.03)*10</f>
        <v>577.86469650876427</v>
      </c>
      <c r="E29" s="756">
        <f>(E28/69.03)*10</f>
        <v>85334.492249746487</v>
      </c>
      <c r="F29" s="756">
        <f>(F28/69.03)*10</f>
        <v>63121.975952484427</v>
      </c>
      <c r="G29" s="756"/>
      <c r="H29" s="756">
        <f>(H28/69.03)*10</f>
        <v>16524.554541503694</v>
      </c>
      <c r="I29" s="756">
        <f>(I28/69.03)*10</f>
        <v>22212.51629726206</v>
      </c>
      <c r="J29" s="756"/>
      <c r="K29" s="756">
        <f>(K28/69.03)*10</f>
        <v>20850.210053599883</v>
      </c>
      <c r="L29" s="752"/>
      <c r="M29" s="752"/>
      <c r="N29" s="752"/>
      <c r="O29" s="752"/>
      <c r="P29" s="752"/>
      <c r="Q29" s="752"/>
      <c r="R29" s="752"/>
      <c r="S29" s="756">
        <f>S28/69.03</f>
        <v>561.68332609010577</v>
      </c>
      <c r="T29" s="752"/>
      <c r="U29" s="752"/>
      <c r="V29" s="756">
        <f>V28/69.03</f>
        <v>597.7256265391859</v>
      </c>
      <c r="W29" s="752"/>
      <c r="X29" s="1230"/>
    </row>
    <row r="30" spans="1:24" s="436" customFormat="1" ht="10.35" customHeight="1">
      <c r="A30" s="322" t="s">
        <v>490</v>
      </c>
      <c r="B30" s="591">
        <v>628682</v>
      </c>
      <c r="C30" s="753">
        <v>677072</v>
      </c>
      <c r="D30" s="753">
        <v>5671</v>
      </c>
      <c r="E30" s="753">
        <v>682743</v>
      </c>
      <c r="F30" s="753">
        <v>508042</v>
      </c>
      <c r="G30" s="418">
        <f>(F30/B30)*100</f>
        <v>80.810648308683881</v>
      </c>
      <c r="H30" s="753">
        <v>120640</v>
      </c>
      <c r="I30" s="753">
        <v>174701</v>
      </c>
      <c r="J30" s="418">
        <f>(I30/B30)*100</f>
        <v>27.788452667644375</v>
      </c>
      <c r="K30" s="753">
        <v>164729</v>
      </c>
      <c r="L30" s="418">
        <f>(K30/B30)*100</f>
        <v>26.202277144884057</v>
      </c>
      <c r="M30" s="751" t="s">
        <v>1526</v>
      </c>
      <c r="N30" s="751" t="s">
        <v>1531</v>
      </c>
      <c r="O30" s="751" t="s">
        <v>1535</v>
      </c>
      <c r="P30" s="751" t="s">
        <v>1402</v>
      </c>
      <c r="Q30" s="993">
        <f>(B30/M30)*100</f>
        <v>114.84097713526853</v>
      </c>
      <c r="R30" s="751" t="s">
        <v>1544</v>
      </c>
      <c r="S30" s="753">
        <v>43719</v>
      </c>
      <c r="T30" s="751"/>
      <c r="U30" s="751" t="s">
        <v>1554</v>
      </c>
      <c r="V30" s="753">
        <v>47084</v>
      </c>
      <c r="W30" s="751" t="s">
        <v>1550</v>
      </c>
      <c r="X30" s="1230"/>
    </row>
    <row r="31" spans="1:24" s="436" customFormat="1" ht="10.35" customHeight="1">
      <c r="A31" s="399"/>
      <c r="B31" s="756">
        <f>(B30/68.6)*10</f>
        <v>91644.606413994174</v>
      </c>
      <c r="C31" s="756">
        <f>(C30/68.6)*10</f>
        <v>98698.542274052481</v>
      </c>
      <c r="D31" s="756">
        <f>(D30/68.6)*10</f>
        <v>826.67638483965015</v>
      </c>
      <c r="E31" s="756">
        <f>(E30/68.6)*10</f>
        <v>99525.218658892132</v>
      </c>
      <c r="F31" s="756">
        <f>(F30/68.6)*10</f>
        <v>74058.600583090389</v>
      </c>
      <c r="G31" s="756"/>
      <c r="H31" s="756">
        <f>(H30/68.6)*10</f>
        <v>17586.005830903792</v>
      </c>
      <c r="I31" s="756">
        <f>(I30/68.6)*10</f>
        <v>25466.618075801751</v>
      </c>
      <c r="J31" s="756"/>
      <c r="K31" s="756">
        <f>(K30/68.6)*10</f>
        <v>24012.973760932946</v>
      </c>
      <c r="L31" s="752"/>
      <c r="M31" s="752"/>
      <c r="N31" s="752"/>
      <c r="O31" s="752"/>
      <c r="P31" s="752"/>
      <c r="Q31" s="752"/>
      <c r="R31" s="752"/>
      <c r="S31" s="756">
        <f>S30/68.6</f>
        <v>637.30320699708454</v>
      </c>
      <c r="T31" s="752"/>
      <c r="U31" s="752"/>
      <c r="V31" s="756">
        <f>V30/68.6</f>
        <v>686.3556851311954</v>
      </c>
      <c r="W31" s="752"/>
      <c r="X31" s="1230"/>
    </row>
    <row r="32" spans="1:24" s="436" customFormat="1" ht="10.35" customHeight="1">
      <c r="A32" s="322" t="s">
        <v>87</v>
      </c>
      <c r="B32" s="591">
        <v>705072</v>
      </c>
      <c r="C32" s="753">
        <v>760973</v>
      </c>
      <c r="D32" s="753">
        <v>2407</v>
      </c>
      <c r="E32" s="753">
        <v>763380</v>
      </c>
      <c r="F32" s="753">
        <v>561714</v>
      </c>
      <c r="G32" s="418">
        <f>(F32/B32)*100</f>
        <v>79.667608414459806</v>
      </c>
      <c r="H32" s="753">
        <v>143358</v>
      </c>
      <c r="I32" s="753">
        <v>201662</v>
      </c>
      <c r="J32" s="418">
        <f>(I32/B32)*100</f>
        <v>28.601617990786753</v>
      </c>
      <c r="K32" s="753">
        <v>184772</v>
      </c>
      <c r="L32" s="418">
        <f>(K32/B32)*100</f>
        <v>26.206117956747683</v>
      </c>
      <c r="M32" s="751" t="s">
        <v>1527</v>
      </c>
      <c r="N32" s="751" t="s">
        <v>1532</v>
      </c>
      <c r="O32" s="751" t="s">
        <v>1536</v>
      </c>
      <c r="P32" s="751" t="s">
        <v>1540</v>
      </c>
      <c r="Q32" s="993">
        <f>(B32/M32)*100</f>
        <v>122.60927631395899</v>
      </c>
      <c r="R32" s="751" t="s">
        <v>1545</v>
      </c>
      <c r="S32" s="753">
        <v>48359</v>
      </c>
      <c r="T32" s="751"/>
      <c r="U32" s="751" t="s">
        <v>1555</v>
      </c>
      <c r="V32" s="753">
        <v>52193</v>
      </c>
      <c r="W32" s="751" t="s">
        <v>1551</v>
      </c>
      <c r="X32" s="1230"/>
    </row>
    <row r="33" spans="1:24" s="436" customFormat="1" ht="10.35" customHeight="1">
      <c r="A33" s="399"/>
      <c r="B33" s="756">
        <f>(B32/68.8)*10</f>
        <v>102481.39534883722</v>
      </c>
      <c r="C33" s="756">
        <f>(C32/68.8)*10</f>
        <v>110606.54069767443</v>
      </c>
      <c r="D33" s="756">
        <f>(D32/68.8)*10</f>
        <v>349.85465116279073</v>
      </c>
      <c r="E33" s="756">
        <f>(E32/68.8)*10</f>
        <v>110956.39534883722</v>
      </c>
      <c r="F33" s="756">
        <f>(F32/68.8)*10</f>
        <v>81644.476744186046</v>
      </c>
      <c r="G33" s="756"/>
      <c r="H33" s="756">
        <f>(H32/68.8)*10</f>
        <v>20836.918604651164</v>
      </c>
      <c r="I33" s="756">
        <f>(I32/68.8)*10</f>
        <v>29311.337209302328</v>
      </c>
      <c r="J33" s="756"/>
      <c r="K33" s="756">
        <f>(K32/68.8)*10</f>
        <v>26856.39534883721</v>
      </c>
      <c r="L33" s="752"/>
      <c r="M33" s="752"/>
      <c r="N33" s="752"/>
      <c r="O33" s="752"/>
      <c r="P33" s="752"/>
      <c r="Q33" s="752"/>
      <c r="R33" s="752"/>
      <c r="S33" s="756">
        <f>S32/68.8</f>
        <v>702.89244186046517</v>
      </c>
      <c r="T33" s="752"/>
      <c r="U33" s="752"/>
      <c r="V33" s="756">
        <f>V32/68.8</f>
        <v>758.61918604651169</v>
      </c>
      <c r="W33" s="752"/>
      <c r="X33" s="1230"/>
    </row>
    <row r="34" spans="1:24" s="436" customFormat="1" ht="10.35" customHeight="1">
      <c r="A34" s="322" t="s">
        <v>83</v>
      </c>
      <c r="B34" s="591">
        <v>797539</v>
      </c>
      <c r="C34" s="753">
        <v>862142</v>
      </c>
      <c r="D34" s="753">
        <v>4248</v>
      </c>
      <c r="E34" s="753">
        <v>866390</v>
      </c>
      <c r="F34" s="753">
        <v>631571</v>
      </c>
      <c r="G34" s="418">
        <f>(F34/B34)*100</f>
        <v>79.189983185775233</v>
      </c>
      <c r="H34" s="753">
        <v>165968</v>
      </c>
      <c r="I34" s="753">
        <v>234819</v>
      </c>
      <c r="J34" s="418">
        <f>(I34/B34)*100</f>
        <v>29.442948871465845</v>
      </c>
      <c r="K34" s="753">
        <v>209327</v>
      </c>
      <c r="L34" s="418">
        <f>(K34/B34)*100</f>
        <v>26.246616152940483</v>
      </c>
      <c r="M34" s="751" t="s">
        <v>1528</v>
      </c>
      <c r="N34" s="751" t="s">
        <v>1533</v>
      </c>
      <c r="O34" s="751" t="s">
        <v>1537</v>
      </c>
      <c r="P34" s="751" t="s">
        <v>1541</v>
      </c>
      <c r="Q34" s="993">
        <f>(B34/M34)*100</f>
        <v>131.3692869508497</v>
      </c>
      <c r="R34" s="751" t="s">
        <v>1546</v>
      </c>
      <c r="S34" s="753">
        <v>53961</v>
      </c>
      <c r="T34" s="751"/>
      <c r="U34" s="751" t="s">
        <v>1556</v>
      </c>
      <c r="V34" s="753">
        <v>58332</v>
      </c>
      <c r="W34" s="751" t="s">
        <v>1552</v>
      </c>
      <c r="X34" s="1230"/>
    </row>
    <row r="35" spans="1:24" s="436" customFormat="1" ht="10.35" customHeight="1">
      <c r="A35" s="399"/>
      <c r="B35" s="756">
        <f>(B34/69.18)*10</f>
        <v>115284.61983232148</v>
      </c>
      <c r="C35" s="756">
        <f>(C34/69.18)*10</f>
        <v>124623.01243133852</v>
      </c>
      <c r="D35" s="756">
        <f>(D34/69.18)*10</f>
        <v>614.0503035559409</v>
      </c>
      <c r="E35" s="756">
        <f>(E34/69.18)*10</f>
        <v>125237.06273489445</v>
      </c>
      <c r="F35" s="756">
        <f>(F34/69.18)*10</f>
        <v>91293.871061000274</v>
      </c>
      <c r="G35" s="756"/>
      <c r="H35" s="756">
        <f>(H34/69.18)*10</f>
        <v>23990.748771321189</v>
      </c>
      <c r="I35" s="756">
        <f>(I34/69.18)*10</f>
        <v>33943.191673894187</v>
      </c>
      <c r="J35" s="756"/>
      <c r="K35" s="756">
        <f>(K34/69.18)*10</f>
        <v>30258.311650766114</v>
      </c>
      <c r="L35" s="752"/>
      <c r="M35" s="752"/>
      <c r="N35" s="752"/>
      <c r="O35" s="752"/>
      <c r="P35" s="752"/>
      <c r="Q35" s="752"/>
      <c r="R35" s="752"/>
      <c r="S35" s="756">
        <f>S34/69.18</f>
        <v>780.0086730268863</v>
      </c>
      <c r="T35" s="752"/>
      <c r="U35" s="752"/>
      <c r="V35" s="756">
        <f>V34/69.18</f>
        <v>843.19167389418897</v>
      </c>
      <c r="W35" s="752"/>
      <c r="X35" s="1230"/>
    </row>
    <row r="36" spans="1:24" s="436" customFormat="1" ht="10.35" customHeight="1">
      <c r="A36" s="436" t="s">
        <v>225</v>
      </c>
      <c r="B36" s="753">
        <v>915829</v>
      </c>
      <c r="C36" s="753">
        <v>988342</v>
      </c>
      <c r="D36" s="753">
        <v>3102</v>
      </c>
      <c r="E36" s="753">
        <v>991444</v>
      </c>
      <c r="F36" s="753">
        <v>726966</v>
      </c>
      <c r="G36" s="418">
        <f>(F36/B36)*100</f>
        <v>79.377918803619451</v>
      </c>
      <c r="H36" s="753">
        <v>188863</v>
      </c>
      <c r="I36" s="753">
        <v>264478</v>
      </c>
      <c r="J36" s="418">
        <f>(I36/B36)*100</f>
        <v>28.878535185061839</v>
      </c>
      <c r="K36" s="753">
        <v>251129</v>
      </c>
      <c r="L36" s="418">
        <f>(K36/B36)*100</f>
        <v>27.420948670548761</v>
      </c>
      <c r="M36" s="751" t="s">
        <v>1395</v>
      </c>
      <c r="N36" s="751" t="s">
        <v>1418</v>
      </c>
      <c r="O36" s="751" t="s">
        <v>1396</v>
      </c>
      <c r="P36" s="751" t="s">
        <v>1397</v>
      </c>
      <c r="Q36" s="760">
        <f>(B36/M36)*100</f>
        <v>141.694180480303</v>
      </c>
      <c r="R36" s="751" t="s">
        <v>1096</v>
      </c>
      <c r="S36" s="753">
        <v>61198</v>
      </c>
      <c r="T36" s="751"/>
      <c r="U36" s="760">
        <v>43190</v>
      </c>
      <c r="V36" s="753">
        <v>66044</v>
      </c>
      <c r="W36" s="751" t="s">
        <v>1421</v>
      </c>
      <c r="X36" s="1230"/>
    </row>
    <row r="37" spans="1:24" s="436" customFormat="1" ht="10.35" customHeight="1">
      <c r="A37" s="399"/>
      <c r="B37" s="756">
        <f>(B36/71.17)*10</f>
        <v>128681.88843613882</v>
      </c>
      <c r="C37" s="756">
        <f>(C36/71.17)*10</f>
        <v>138870.59154137981</v>
      </c>
      <c r="D37" s="756">
        <f>(D36/71.17)*10</f>
        <v>435.85780525502315</v>
      </c>
      <c r="E37" s="756">
        <f>(E36/71.17)*10</f>
        <v>139306.44934663482</v>
      </c>
      <c r="F37" s="756">
        <f>(F36/71.17)*10</f>
        <v>102145.00491780243</v>
      </c>
      <c r="G37" s="756"/>
      <c r="H37" s="756">
        <f>(H36/71.17)*10</f>
        <v>26536.883518336377</v>
      </c>
      <c r="I37" s="756">
        <f>(I36/71.17)*10</f>
        <v>37161.444428832372</v>
      </c>
      <c r="J37" s="756"/>
      <c r="K37" s="756">
        <f>(K36/71.17)*10</f>
        <v>35285.794576366447</v>
      </c>
      <c r="L37" s="752"/>
      <c r="M37" s="752"/>
      <c r="N37" s="752"/>
      <c r="O37" s="752"/>
      <c r="P37" s="752"/>
      <c r="Q37" s="752"/>
      <c r="R37" s="752"/>
      <c r="S37" s="756">
        <f>S36/71.17</f>
        <v>859.88478291414924</v>
      </c>
      <c r="T37" s="752"/>
      <c r="U37" s="752"/>
      <c r="V37" s="756">
        <f>V36/71.17</f>
        <v>927.97527047913445</v>
      </c>
      <c r="W37" s="752"/>
      <c r="X37" s="1230"/>
    </row>
    <row r="38" spans="1:24" s="436" customFormat="1" ht="10.35" customHeight="1">
      <c r="A38" s="436" t="s">
        <v>972</v>
      </c>
      <c r="B38" s="748">
        <v>1055204</v>
      </c>
      <c r="C38" s="753">
        <v>1144506</v>
      </c>
      <c r="D38" s="753">
        <v>1791</v>
      </c>
      <c r="E38" s="753">
        <v>1146297</v>
      </c>
      <c r="F38" s="753">
        <v>831250</v>
      </c>
      <c r="G38" s="418">
        <f>(F38/B38)*100</f>
        <v>78.776236632916479</v>
      </c>
      <c r="H38" s="753">
        <v>223954</v>
      </c>
      <c r="I38" s="753">
        <v>315047</v>
      </c>
      <c r="J38" s="418">
        <f>(I38/B38)*100</f>
        <v>29.856501681191506</v>
      </c>
      <c r="K38" s="753">
        <v>298225</v>
      </c>
      <c r="L38" s="418">
        <f>(K38/B38)*100</f>
        <v>28.262307572753702</v>
      </c>
      <c r="M38" s="751" t="s">
        <v>1398</v>
      </c>
      <c r="N38" s="751" t="s">
        <v>1417</v>
      </c>
      <c r="O38" s="751" t="s">
        <v>1399</v>
      </c>
      <c r="P38" s="751" t="s">
        <v>1400</v>
      </c>
      <c r="Q38" s="760">
        <f>(B38/M38)*100</f>
        <v>153.26285089318264</v>
      </c>
      <c r="R38" s="751" t="s">
        <v>1097</v>
      </c>
      <c r="S38" s="753">
        <v>69614</v>
      </c>
      <c r="T38" s="751"/>
      <c r="U38" s="760">
        <v>45421</v>
      </c>
      <c r="V38" s="753">
        <v>75505</v>
      </c>
      <c r="W38" s="751" t="s">
        <v>1420</v>
      </c>
      <c r="X38" s="1230"/>
    </row>
    <row r="39" spans="1:24" s="436" customFormat="1" ht="10.35" customHeight="1">
      <c r="A39" s="399"/>
      <c r="B39" s="756">
        <f>(B38/79.1)*10</f>
        <v>133401.26422250317</v>
      </c>
      <c r="C39" s="756">
        <f>(C38/79.1)*10</f>
        <v>144691.02402022757</v>
      </c>
      <c r="D39" s="756">
        <f>(D38/79.1)*10</f>
        <v>226.42225031605562</v>
      </c>
      <c r="E39" s="756">
        <f>(E38/79.1)*10</f>
        <v>144917.44627054362</v>
      </c>
      <c r="F39" s="756">
        <f>(F38/79.1)*10</f>
        <v>105088.49557522124</v>
      </c>
      <c r="G39" s="756"/>
      <c r="H39" s="756">
        <f>(H38/79.1)*10</f>
        <v>28312.768647281922</v>
      </c>
      <c r="I39" s="756">
        <f>(I38/79.1)*10</f>
        <v>39828.950695322375</v>
      </c>
      <c r="J39" s="756"/>
      <c r="K39" s="756">
        <f>(K38/79.1)*10</f>
        <v>37702.275600505687</v>
      </c>
      <c r="L39" s="752"/>
      <c r="M39" s="752"/>
      <c r="N39" s="752"/>
      <c r="O39" s="752"/>
      <c r="P39" s="752"/>
      <c r="Q39" s="752"/>
      <c r="R39" s="752"/>
      <c r="S39" s="756">
        <f>S38/79.1</f>
        <v>880.07585335018973</v>
      </c>
      <c r="T39" s="752"/>
      <c r="U39" s="752"/>
      <c r="V39" s="756">
        <f>V38/79.1</f>
        <v>954.55120101137811</v>
      </c>
      <c r="W39" s="752"/>
      <c r="X39" s="1230"/>
    </row>
    <row r="40" spans="1:24" s="436" customFormat="1" ht="10.35" customHeight="1">
      <c r="A40" s="436" t="s">
        <v>1107</v>
      </c>
      <c r="B40" s="591">
        <v>1198923</v>
      </c>
      <c r="C40" s="753">
        <v>1295352</v>
      </c>
      <c r="D40" s="753">
        <v>5375</v>
      </c>
      <c r="E40" s="753">
        <v>1300727</v>
      </c>
      <c r="F40" s="753">
        <v>934727</v>
      </c>
      <c r="G40" s="418">
        <f>(F40/B40)*100</f>
        <v>77.963889257275071</v>
      </c>
      <c r="H40" s="753">
        <v>264196</v>
      </c>
      <c r="I40" s="753">
        <v>365999.9</v>
      </c>
      <c r="J40" s="418">
        <f>(I40/B40)*100</f>
        <v>30.527389999190941</v>
      </c>
      <c r="K40" s="753">
        <v>340370</v>
      </c>
      <c r="L40" s="418">
        <f>(K40/B40)*100</f>
        <v>28.38964637428759</v>
      </c>
      <c r="M40" s="751" t="s">
        <v>1401</v>
      </c>
      <c r="N40" s="751" t="s">
        <v>1416</v>
      </c>
      <c r="O40" s="751" t="s">
        <v>1403</v>
      </c>
      <c r="P40" s="751" t="s">
        <v>1402</v>
      </c>
      <c r="Q40" s="760">
        <f>(B40/M40)*100</f>
        <v>164.25920369586393</v>
      </c>
      <c r="R40" s="751" t="s">
        <v>1404</v>
      </c>
      <c r="S40" s="753">
        <v>78009</v>
      </c>
      <c r="T40" s="751"/>
      <c r="U40" s="760">
        <v>47491</v>
      </c>
      <c r="V40" s="753">
        <v>84283</v>
      </c>
      <c r="W40" s="751" t="s">
        <v>1419</v>
      </c>
      <c r="X40" s="1230"/>
    </row>
    <row r="41" spans="1:24" s="436" customFormat="1" ht="10.35" customHeight="1">
      <c r="A41" s="399"/>
      <c r="B41" s="756">
        <f>(B40/79.93)*10</f>
        <v>149996.62204428873</v>
      </c>
      <c r="C41" s="756">
        <f>(C40/79.93)*10</f>
        <v>162060.80320280243</v>
      </c>
      <c r="D41" s="756">
        <f>(D40/79.93)*10</f>
        <v>672.46340547979469</v>
      </c>
      <c r="E41" s="756">
        <f>(E40/79.93)*10</f>
        <v>162733.26660828223</v>
      </c>
      <c r="F41" s="756">
        <f>(F40/79.93)*10</f>
        <v>116943.20030026272</v>
      </c>
      <c r="G41" s="756"/>
      <c r="H41" s="756">
        <f>(H40/79.93)*10</f>
        <v>33053.421744026018</v>
      </c>
      <c r="I41" s="756">
        <f>(I40/79.93)*10</f>
        <v>45790.05379707244</v>
      </c>
      <c r="J41" s="756"/>
      <c r="K41" s="756">
        <f>(K40/79.93)*10</f>
        <v>42583.510571750274</v>
      </c>
      <c r="L41" s="752"/>
      <c r="M41" s="752"/>
      <c r="N41" s="752"/>
      <c r="O41" s="752"/>
      <c r="P41" s="752"/>
      <c r="Q41" s="752"/>
      <c r="R41" s="752"/>
      <c r="S41" s="756">
        <f>S40/79.93</f>
        <v>975.96647066182902</v>
      </c>
      <c r="T41" s="752"/>
      <c r="U41" s="752"/>
      <c r="V41" s="756">
        <f>V40/79.93</f>
        <v>1054.4601526335543</v>
      </c>
      <c r="W41" s="752"/>
      <c r="X41" s="1230"/>
    </row>
    <row r="42" spans="1:24" s="436" customFormat="1" ht="10.35" customHeight="1">
      <c r="A42" s="436" t="s">
        <v>1347</v>
      </c>
      <c r="B42" s="591">
        <v>1343674</v>
      </c>
      <c r="C42" s="753">
        <v>1433224</v>
      </c>
      <c r="D42" s="753">
        <v>6334</v>
      </c>
      <c r="E42" s="753">
        <v>1439558</v>
      </c>
      <c r="F42" s="753">
        <v>1046856</v>
      </c>
      <c r="G42" s="418">
        <f>(F42/B42)*100</f>
        <v>77.909969233608749</v>
      </c>
      <c r="H42" s="753">
        <v>296817</v>
      </c>
      <c r="I42" s="753">
        <v>392701</v>
      </c>
      <c r="J42" s="418">
        <f>(I42/B42)*100</f>
        <v>29.225913428405999</v>
      </c>
      <c r="K42" s="753">
        <v>383994</v>
      </c>
      <c r="L42" s="418">
        <f>(K42/B42)*100</f>
        <v>28.577913988065557</v>
      </c>
      <c r="M42" s="751" t="s">
        <v>1519</v>
      </c>
      <c r="N42" s="751">
        <v>825728</v>
      </c>
      <c r="O42" s="751" t="s">
        <v>1520</v>
      </c>
      <c r="P42" s="751" t="s">
        <v>1521</v>
      </c>
      <c r="Q42" s="760">
        <f>(B42/M42)*100</f>
        <v>173.57079376233634</v>
      </c>
      <c r="R42" s="751" t="s">
        <v>1405</v>
      </c>
      <c r="S42" s="753">
        <v>86266</v>
      </c>
      <c r="T42" s="751"/>
      <c r="U42" s="760">
        <v>49701</v>
      </c>
      <c r="V42" s="753">
        <v>92015</v>
      </c>
      <c r="W42" s="751" t="s">
        <v>1587</v>
      </c>
      <c r="X42" s="1230"/>
    </row>
    <row r="43" spans="1:24" s="436" customFormat="1" ht="10.35" customHeight="1">
      <c r="A43" s="399"/>
      <c r="B43" s="756">
        <f>(B42/77.72)*10</f>
        <v>172886.51569737517</v>
      </c>
      <c r="C43" s="756">
        <f>(C42/77.72)*10</f>
        <v>184408.64642305713</v>
      </c>
      <c r="D43" s="756">
        <f>(D42/77.72)*10</f>
        <v>814.97683993823989</v>
      </c>
      <c r="E43" s="756">
        <f>(E42/77.72)*10</f>
        <v>185223.62326299539</v>
      </c>
      <c r="F43" s="756">
        <f>(F42/77.72)*10</f>
        <v>134695.83118888317</v>
      </c>
      <c r="G43" s="756"/>
      <c r="H43" s="756">
        <f>(H42/77.72)*10</f>
        <v>38190.555841482244</v>
      </c>
      <c r="I43" s="756">
        <f>(I42/77.72)*10</f>
        <v>50527.663407102416</v>
      </c>
      <c r="J43" s="756"/>
      <c r="K43" s="756">
        <f>(K42/77.72)*10</f>
        <v>49407.359752959346</v>
      </c>
      <c r="L43" s="752"/>
      <c r="M43" s="752"/>
      <c r="N43" s="752"/>
      <c r="O43" s="752"/>
      <c r="P43" s="752"/>
      <c r="Q43" s="752"/>
      <c r="R43" s="752"/>
      <c r="S43" s="756">
        <f>S42/77.72</f>
        <v>1109.9588265568709</v>
      </c>
      <c r="T43" s="752"/>
      <c r="U43" s="752"/>
      <c r="V43" s="756">
        <f>V42/77.72</f>
        <v>1183.9294904786414</v>
      </c>
      <c r="W43" s="752"/>
      <c r="X43" s="1230"/>
    </row>
    <row r="44" spans="1:24" s="436" customFormat="1" ht="10.35" customHeight="1">
      <c r="A44" s="436" t="s">
        <v>1406</v>
      </c>
      <c r="B44" s="591">
        <v>1515802</v>
      </c>
      <c r="C44" s="753">
        <v>1614204</v>
      </c>
      <c r="D44" s="753">
        <v>5600</v>
      </c>
      <c r="E44" s="753">
        <v>1619804</v>
      </c>
      <c r="F44" s="753">
        <v>1179924</v>
      </c>
      <c r="G44" s="418">
        <f>(F44/B44)*100</f>
        <v>77.84156505928874</v>
      </c>
      <c r="H44" s="753">
        <v>335879</v>
      </c>
      <c r="I44" s="753">
        <v>439881</v>
      </c>
      <c r="J44" s="418">
        <f>(I44/B44)*100</f>
        <v>29.01968726786216</v>
      </c>
      <c r="K44" s="753">
        <v>437865</v>
      </c>
      <c r="L44" s="418">
        <f>(K44/B44)*100</f>
        <v>28.886688366950303</v>
      </c>
      <c r="M44" s="751" t="s">
        <v>1583</v>
      </c>
      <c r="N44" s="751" t="s">
        <v>1584</v>
      </c>
      <c r="O44" s="751" t="s">
        <v>1585</v>
      </c>
      <c r="P44" s="751" t="s">
        <v>1586</v>
      </c>
      <c r="Q44" s="760">
        <f>(B44/M44)*100</f>
        <v>183.76431451564019</v>
      </c>
      <c r="R44" s="751" t="s">
        <v>1522</v>
      </c>
      <c r="S44" s="753">
        <v>96004</v>
      </c>
      <c r="T44" s="751"/>
      <c r="U44" s="753">
        <v>52240</v>
      </c>
      <c r="V44" s="753">
        <v>102236</v>
      </c>
      <c r="W44" s="751" t="s">
        <v>1621</v>
      </c>
      <c r="X44" s="1230"/>
    </row>
    <row r="45" spans="1:24" s="436" customFormat="1" ht="10.35" customHeight="1">
      <c r="A45" s="399"/>
      <c r="B45" s="756">
        <f>(B44/77.67)*10</f>
        <v>195159.26355092056</v>
      </c>
      <c r="C45" s="756">
        <f>(C44/77.67)*10</f>
        <v>207828.50521436849</v>
      </c>
      <c r="D45" s="756">
        <f>(D44/77.67)*10</f>
        <v>720.99909875112655</v>
      </c>
      <c r="E45" s="756">
        <f>(E44/77.67)*10</f>
        <v>208549.50431311963</v>
      </c>
      <c r="F45" s="756">
        <f>(F44/77.67)*10</f>
        <v>151915.02510621861</v>
      </c>
      <c r="G45" s="756"/>
      <c r="H45" s="756">
        <f>(H44/77.67)*10</f>
        <v>43244.36719454101</v>
      </c>
      <c r="I45" s="756">
        <f>(I44/77.67)*10</f>
        <v>56634.607956740059</v>
      </c>
      <c r="J45" s="756"/>
      <c r="K45" s="756">
        <f>(K44/77.67)*10</f>
        <v>56375.048281189651</v>
      </c>
      <c r="L45" s="752"/>
      <c r="M45" s="752"/>
      <c r="N45" s="752"/>
      <c r="O45" s="752"/>
      <c r="P45" s="752"/>
      <c r="Q45" s="752"/>
      <c r="R45" s="752"/>
      <c r="S45" s="756">
        <f>S44/77.67</f>
        <v>1236.0499549375563</v>
      </c>
      <c r="T45" s="752"/>
      <c r="U45" s="752"/>
      <c r="V45" s="756">
        <f>V44/77.67</f>
        <v>1316.2868546414318</v>
      </c>
      <c r="W45" s="752"/>
      <c r="X45" s="1230"/>
    </row>
    <row r="46" spans="1:24" s="436" customFormat="1" ht="10.35" customHeight="1">
      <c r="A46" s="679" t="s">
        <v>1560</v>
      </c>
      <c r="B46" s="748">
        <v>1732864</v>
      </c>
      <c r="C46" s="748">
        <v>1832675</v>
      </c>
      <c r="D46" s="748">
        <v>583</v>
      </c>
      <c r="E46" s="748">
        <v>1833258</v>
      </c>
      <c r="F46" s="748">
        <v>1300034</v>
      </c>
      <c r="G46" s="418">
        <f>(F46/B46)*100</f>
        <v>75.022275262224852</v>
      </c>
      <c r="H46" s="748">
        <v>432830</v>
      </c>
      <c r="I46" s="748">
        <v>533224</v>
      </c>
      <c r="J46" s="418">
        <f>(I46/B46)*100</f>
        <v>30.771254985965431</v>
      </c>
      <c r="K46" s="748">
        <v>513839</v>
      </c>
      <c r="L46" s="418">
        <f>(K46/B46)*100</f>
        <v>29.652586700398874</v>
      </c>
      <c r="M46" s="748">
        <v>883539</v>
      </c>
      <c r="N46" s="748">
        <v>934430</v>
      </c>
      <c r="O46" s="325">
        <v>14.32</v>
      </c>
      <c r="P46" s="748">
        <v>7.11</v>
      </c>
      <c r="Q46" s="760">
        <f>(B46/M46)*100</f>
        <v>196.12761858842677</v>
      </c>
      <c r="R46" s="748">
        <v>15.99</v>
      </c>
      <c r="S46" s="748">
        <v>108378</v>
      </c>
      <c r="T46" s="748"/>
      <c r="U46" s="753">
        <v>55259</v>
      </c>
      <c r="V46" s="748">
        <v>114621</v>
      </c>
      <c r="W46" s="748">
        <v>58442</v>
      </c>
      <c r="X46" s="1230"/>
    </row>
    <row r="47" spans="1:24" s="436" customFormat="1" ht="10.35" customHeight="1">
      <c r="A47" s="399"/>
      <c r="B47" s="756">
        <f>(B46/78.2658)*10</f>
        <v>221407.56243467773</v>
      </c>
      <c r="C47" s="756">
        <f>(C46/78.2658)*10</f>
        <v>234160.38678452146</v>
      </c>
      <c r="D47" s="756">
        <f>(D46/78.2658)*10</f>
        <v>74.489751590094272</v>
      </c>
      <c r="E47" s="756">
        <f>(E46/78.2658)*10</f>
        <v>234234.87653611155</v>
      </c>
      <c r="F47" s="756">
        <f>(F46/78.2658)*10</f>
        <v>166104.99094112628</v>
      </c>
      <c r="G47" s="756"/>
      <c r="H47" s="756">
        <f>(H46/78.2658)*10</f>
        <v>55302.571493551455</v>
      </c>
      <c r="I47" s="756">
        <f>(I46/78.2658)*10</f>
        <v>68129.885594985302</v>
      </c>
      <c r="J47" s="756"/>
      <c r="K47" s="756">
        <f>(K46/78.2658)*10</f>
        <v>65653.06941218258</v>
      </c>
      <c r="L47" s="752"/>
      <c r="M47" s="752"/>
      <c r="N47" s="752"/>
      <c r="O47" s="752"/>
      <c r="P47" s="752"/>
      <c r="Q47" s="752"/>
      <c r="R47" s="752"/>
      <c r="S47" s="756">
        <f>(S46/78.2658)</f>
        <v>1384.742761206044</v>
      </c>
      <c r="T47" s="752"/>
      <c r="U47" s="752"/>
      <c r="V47" s="756">
        <f>(V46/78.2658)</f>
        <v>1464.5094025743044</v>
      </c>
      <c r="W47" s="752"/>
      <c r="X47" s="1230"/>
    </row>
    <row r="48" spans="1:24" s="322" customFormat="1" ht="10.35" customHeight="1">
      <c r="A48" s="322" t="s">
        <v>1596</v>
      </c>
      <c r="B48" s="748">
        <v>1975817</v>
      </c>
      <c r="C48" s="748">
        <v>2060718</v>
      </c>
      <c r="D48" s="748">
        <v>353</v>
      </c>
      <c r="E48" s="748">
        <v>2061069</v>
      </c>
      <c r="F48" s="748">
        <v>1475356</v>
      </c>
      <c r="G48" s="418">
        <f>(F48/B48)*100</f>
        <v>74.670680533672908</v>
      </c>
      <c r="H48" s="748">
        <v>500460</v>
      </c>
      <c r="I48" s="748">
        <v>585714</v>
      </c>
      <c r="J48" s="418">
        <f>(I48/B48)*100</f>
        <v>29.644142144743164</v>
      </c>
      <c r="K48" s="748">
        <v>602830</v>
      </c>
      <c r="L48" s="418">
        <f>(K48/B48)*100</f>
        <v>30.510416703571231</v>
      </c>
      <c r="M48" s="748">
        <v>947899</v>
      </c>
      <c r="N48" s="748">
        <v>988630</v>
      </c>
      <c r="O48" s="748">
        <v>14.02</v>
      </c>
      <c r="P48" s="748">
        <v>7.28</v>
      </c>
      <c r="Q48" s="760">
        <f>(B48/M48)*100</f>
        <v>208.44172216660212</v>
      </c>
      <c r="R48" s="325">
        <v>16.175000000000001</v>
      </c>
      <c r="S48" s="748">
        <v>122152</v>
      </c>
      <c r="T48" s="748"/>
      <c r="U48" s="477">
        <f>M48/R48</f>
        <v>58602.720247295205</v>
      </c>
      <c r="V48" s="477">
        <f>C48/R48</f>
        <v>127401.42194744977</v>
      </c>
      <c r="W48" s="477">
        <f>N48/R48</f>
        <v>61120.865533230288</v>
      </c>
      <c r="X48" s="1232"/>
    </row>
    <row r="49" spans="1:24" s="436" customFormat="1" ht="10.35" customHeight="1">
      <c r="A49" s="399"/>
      <c r="B49" s="756">
        <f>(B48/79.119175)*10</f>
        <v>249726.69393986985</v>
      </c>
      <c r="C49" s="756">
        <f>(C48/79.119175)*10</f>
        <v>260457.46811692615</v>
      </c>
      <c r="D49" s="756">
        <f>(D48/79.119175)*10</f>
        <v>44.616238731002944</v>
      </c>
      <c r="E49" s="756">
        <f>(E48/79.119175)*10</f>
        <v>260501.83157243489</v>
      </c>
      <c r="F49" s="756">
        <f>(F48/79.119175)*10</f>
        <v>186472.62183914328</v>
      </c>
      <c r="G49" s="756"/>
      <c r="H49" s="756">
        <f>(H48/79.119175)*10</f>
        <v>63253.945709115396</v>
      </c>
      <c r="I49" s="756">
        <f>(I48/79.119175)*10</f>
        <v>74029.336124902722</v>
      </c>
      <c r="J49" s="756"/>
      <c r="K49" s="756">
        <f>(K48/79.119175)*10</f>
        <v>76192.654941106244</v>
      </c>
      <c r="L49" s="752"/>
      <c r="M49" s="752"/>
      <c r="N49" s="752"/>
      <c r="O49" s="752"/>
      <c r="P49" s="752"/>
      <c r="Q49" s="752"/>
      <c r="R49" s="752"/>
      <c r="S49" s="756">
        <f>(S48/79.119175)</f>
        <v>1543.8988083482923</v>
      </c>
      <c r="T49" s="752"/>
      <c r="U49" s="752"/>
      <c r="V49" s="756">
        <f>(V48/79.119175)</f>
        <v>1610.2470980953703</v>
      </c>
      <c r="W49" s="752"/>
      <c r="X49" s="1230"/>
    </row>
    <row r="50" spans="1:24" s="322" customFormat="1" ht="10.35" customHeight="1">
      <c r="A50" s="322" t="s">
        <v>1756</v>
      </c>
      <c r="B50" s="748">
        <v>2250481</v>
      </c>
      <c r="C50" s="748">
        <v>2353109</v>
      </c>
      <c r="D50" s="748">
        <v>495</v>
      </c>
      <c r="E50" s="748">
        <v>2353603</v>
      </c>
      <c r="F50" s="748">
        <v>1736587</v>
      </c>
      <c r="G50" s="325">
        <f>(F50/B50)*100</f>
        <v>77.165148250529555</v>
      </c>
      <c r="H50" s="748">
        <v>513892</v>
      </c>
      <c r="I50" s="748">
        <v>617016</v>
      </c>
      <c r="J50" s="325">
        <f>(I50/B50)*100</f>
        <v>27.41707217257111</v>
      </c>
      <c r="K50" s="748">
        <v>702936</v>
      </c>
      <c r="L50" s="325">
        <f>(K50/B50)*100</f>
        <v>31.234922667643051</v>
      </c>
      <c r="M50" s="748">
        <v>1022438</v>
      </c>
      <c r="N50" s="748">
        <v>1069064</v>
      </c>
      <c r="O50" s="325">
        <v>13.9</v>
      </c>
      <c r="P50" s="748">
        <v>7.86</v>
      </c>
      <c r="Q50" s="993">
        <f>(B50/M50)*100</f>
        <v>220.10928780033606</v>
      </c>
      <c r="R50" s="325">
        <v>16.364999999999998</v>
      </c>
      <c r="S50" s="477">
        <f>B50/R50</f>
        <v>137517.93461655974</v>
      </c>
      <c r="T50" s="748"/>
      <c r="U50" s="477">
        <f>M50/R50</f>
        <v>62477.115795905906</v>
      </c>
      <c r="V50" s="748">
        <f>ROUND((C50/R50),0)</f>
        <v>143789</v>
      </c>
      <c r="W50" s="477">
        <f>N50/R50</f>
        <v>65326.245035135966</v>
      </c>
      <c r="X50" s="1232"/>
    </row>
    <row r="51" spans="1:24" s="436" customFormat="1" ht="10.35" customHeight="1">
      <c r="A51" s="399"/>
      <c r="B51" s="756">
        <f>(B50/82.100874)*10</f>
        <v>274111.69825061789</v>
      </c>
      <c r="C51" s="756">
        <f>(C50/82.100874)*10</f>
        <v>286611.93058675597</v>
      </c>
      <c r="D51" s="756">
        <f>(D50/82.100874)*10</f>
        <v>60.291684592785217</v>
      </c>
      <c r="E51" s="756">
        <f>(E50/82.100874)*10</f>
        <v>286672.10046996572</v>
      </c>
      <c r="F51" s="756">
        <f>(F50/82.100874)*10</f>
        <v>211518.69832713349</v>
      </c>
      <c r="G51" s="756"/>
      <c r="H51" s="756">
        <f>(H50/82.100874)*10</f>
        <v>62592.756320718334</v>
      </c>
      <c r="I51" s="756">
        <f>(I50/82.100874)*10</f>
        <v>75153.40214283223</v>
      </c>
      <c r="J51" s="756"/>
      <c r="K51" s="756">
        <f>(K50/82.100874)*10</f>
        <v>85618.576971543574</v>
      </c>
      <c r="L51" s="752"/>
      <c r="M51" s="752"/>
      <c r="N51" s="752"/>
      <c r="O51" s="752"/>
      <c r="P51" s="752"/>
      <c r="Q51" s="752"/>
      <c r="R51" s="752"/>
      <c r="S51" s="756">
        <f>(S50/82.100874)</f>
        <v>1674.9874625763391</v>
      </c>
      <c r="T51" s="752"/>
      <c r="U51" s="752"/>
      <c r="V51" s="756">
        <f>(V50/82.100874)</f>
        <v>1751.369906244847</v>
      </c>
      <c r="W51" s="752"/>
      <c r="X51" s="1230"/>
    </row>
    <row r="52" spans="1:24" s="322" customFormat="1" ht="10.35" customHeight="1">
      <c r="A52" s="479" t="s">
        <v>1904</v>
      </c>
      <c r="B52" s="748">
        <v>2542484</v>
      </c>
      <c r="C52" s="748">
        <v>2656094</v>
      </c>
      <c r="D52" s="748">
        <v>215</v>
      </c>
      <c r="E52" s="748">
        <v>2656307</v>
      </c>
      <c r="F52" s="748">
        <v>1906266</v>
      </c>
      <c r="G52" s="325">
        <f>(F52/B52)*100</f>
        <v>74.976519026275085</v>
      </c>
      <c r="H52" s="748">
        <v>636217</v>
      </c>
      <c r="I52" s="748">
        <v>750041</v>
      </c>
      <c r="J52" s="325">
        <f>(I52/B52)*100</f>
        <v>29.500323305869379</v>
      </c>
      <c r="K52" s="748">
        <v>802670</v>
      </c>
      <c r="L52" s="325">
        <f>(K52/B52)*100</f>
        <v>31.570306833789317</v>
      </c>
      <c r="M52" s="748">
        <v>1105794</v>
      </c>
      <c r="N52" s="748">
        <v>1155206</v>
      </c>
      <c r="O52" s="748">
        <v>12.98</v>
      </c>
      <c r="P52" s="748">
        <v>8.15</v>
      </c>
      <c r="Q52" s="993">
        <f>(B52/M52)*100</f>
        <v>229.92383753212624</v>
      </c>
      <c r="R52" s="325">
        <v>16.555</v>
      </c>
      <c r="S52" s="477">
        <f>B52/R52</f>
        <v>153578.01268498943</v>
      </c>
      <c r="T52" s="748"/>
      <c r="U52" s="477">
        <f>M52/R52</f>
        <v>66795.167623074594</v>
      </c>
      <c r="V52" s="748">
        <f>ROUND((C52/R52),0)</f>
        <v>160441</v>
      </c>
      <c r="W52" s="477">
        <f>N52/R52</f>
        <v>69779.885231048029</v>
      </c>
      <c r="X52" s="1232"/>
    </row>
    <row r="53" spans="1:24" s="436" customFormat="1" ht="10.35" customHeight="1">
      <c r="A53" s="399"/>
      <c r="B53" s="756">
        <f>(B52/84.03)*10</f>
        <v>302568.60645007738</v>
      </c>
      <c r="C53" s="756">
        <f>(C52/84.03)*10</f>
        <v>316088.77781744616</v>
      </c>
      <c r="D53" s="756">
        <f>(D52/84.03)*10</f>
        <v>25.586100202308696</v>
      </c>
      <c r="E53" s="756">
        <f>(E52/84.03)*10</f>
        <v>316114.12590741401</v>
      </c>
      <c r="F53" s="756">
        <f>(F52/84.03)*10</f>
        <v>226855.40878257767</v>
      </c>
      <c r="G53" s="756"/>
      <c r="H53" s="756">
        <f>(H52/84.03)*10</f>
        <v>75713.078662382482</v>
      </c>
      <c r="I53" s="756">
        <f>(I52/84.03)*10</f>
        <v>89258.717124836374</v>
      </c>
      <c r="J53" s="756"/>
      <c r="K53" s="756">
        <f>(K52/84.03)*10</f>
        <v>95521.837439009862</v>
      </c>
      <c r="L53" s="752"/>
      <c r="M53" s="752"/>
      <c r="N53" s="752"/>
      <c r="O53" s="752"/>
      <c r="P53" s="752"/>
      <c r="Q53" s="752"/>
      <c r="R53" s="752"/>
      <c r="S53" s="756">
        <f>(S52/84.03)</f>
        <v>1827.6569401998029</v>
      </c>
      <c r="T53" s="752"/>
      <c r="U53" s="752"/>
      <c r="V53" s="756">
        <f>(V52/84.03)</f>
        <v>1909.3300011900512</v>
      </c>
      <c r="W53" s="752"/>
      <c r="X53" s="1230"/>
    </row>
    <row r="54" spans="1:24" s="436" customFormat="1" ht="10.35" customHeight="1">
      <c r="A54" s="322" t="s">
        <v>2125</v>
      </c>
      <c r="B54" s="748">
        <v>2796378</v>
      </c>
      <c r="C54" s="748">
        <v>2930426</v>
      </c>
      <c r="D54" s="748">
        <v>211</v>
      </c>
      <c r="E54" s="748">
        <v>2930637</v>
      </c>
      <c r="F54" s="748">
        <v>2088672</v>
      </c>
      <c r="G54" s="325">
        <f>(F54/B54)*100</f>
        <v>74.692048070754382</v>
      </c>
      <c r="H54" s="748">
        <v>707706</v>
      </c>
      <c r="I54" s="748">
        <v>841965</v>
      </c>
      <c r="J54" s="325">
        <f>(I54/B54)*100</f>
        <v>30.109126877696792</v>
      </c>
      <c r="K54" s="748">
        <v>887988</v>
      </c>
      <c r="L54" s="325">
        <f>(K54/B54)*100</f>
        <v>31.754934418737378</v>
      </c>
      <c r="M54" s="748">
        <v>1163740</v>
      </c>
      <c r="N54" s="748">
        <v>1219525</v>
      </c>
      <c r="O54" s="748">
        <v>9.99</v>
      </c>
      <c r="P54" s="748">
        <v>5.24</v>
      </c>
      <c r="Q54" s="993">
        <f>(B54/M54)*100</f>
        <v>240.292333339062</v>
      </c>
      <c r="R54" s="325">
        <v>16.756</v>
      </c>
      <c r="S54" s="477">
        <f>B54/R54</f>
        <v>166888.15946526616</v>
      </c>
      <c r="T54" s="748"/>
      <c r="U54" s="477">
        <f>M54/R54</f>
        <v>69452.136548102178</v>
      </c>
      <c r="V54" s="748">
        <f>ROUND((C54/R54),0)</f>
        <v>174888</v>
      </c>
      <c r="W54" s="477">
        <f>N54/R54</f>
        <v>72781.391740272142</v>
      </c>
      <c r="X54" s="1230"/>
    </row>
    <row r="55" spans="1:24" s="436" customFormat="1" ht="10.35" customHeight="1" thickBot="1">
      <c r="A55" s="1233"/>
      <c r="B55" s="761">
        <f>(B54/84.71)*10</f>
        <v>330111.91122653766</v>
      </c>
      <c r="C55" s="761">
        <f>(C54/84.71)*10</f>
        <v>345936.25309880771</v>
      </c>
      <c r="D55" s="761">
        <f>(D54/84.71)*10</f>
        <v>24.908511391807345</v>
      </c>
      <c r="E55" s="761">
        <f>(E54/84.71)*10</f>
        <v>345961.16161019955</v>
      </c>
      <c r="F55" s="761">
        <f>(F54/84.71)*10</f>
        <v>246567.34742061151</v>
      </c>
      <c r="G55" s="761"/>
      <c r="H55" s="761">
        <f>(H54/84.71)*10</f>
        <v>83544.563805926096</v>
      </c>
      <c r="I55" s="761">
        <f>(I54/84.71)*10</f>
        <v>99393.814189588011</v>
      </c>
      <c r="J55" s="761"/>
      <c r="K55" s="761">
        <f>(K54/84.71)*10</f>
        <v>104826.82091842758</v>
      </c>
      <c r="L55" s="762"/>
      <c r="M55" s="762"/>
      <c r="N55" s="762"/>
      <c r="O55" s="762"/>
      <c r="P55" s="762"/>
      <c r="Q55" s="762"/>
      <c r="R55" s="762"/>
      <c r="S55" s="761">
        <f>(S54/84.71)</f>
        <v>1970.1116688143804</v>
      </c>
      <c r="T55" s="762"/>
      <c r="U55" s="762"/>
      <c r="V55" s="761">
        <f>(V54/84.71)</f>
        <v>2064.549639948058</v>
      </c>
      <c r="W55" s="762"/>
      <c r="X55" s="1230"/>
    </row>
    <row r="56" spans="1:24" ht="10.5" customHeight="1">
      <c r="A56" s="2098" t="s">
        <v>1736</v>
      </c>
      <c r="B56" s="2098"/>
      <c r="C56" s="2098"/>
      <c r="D56" s="2098"/>
      <c r="E56" s="2098"/>
      <c r="F56" s="2098"/>
      <c r="G56" s="9"/>
      <c r="I56" s="61"/>
      <c r="J56" s="61"/>
      <c r="K56" s="61"/>
      <c r="L56" s="2099" t="s">
        <v>1647</v>
      </c>
      <c r="M56" s="2099"/>
      <c r="N56" s="2099"/>
      <c r="O56" s="2099"/>
      <c r="P56" s="1211"/>
      <c r="Q56" s="2077"/>
      <c r="R56" s="2077"/>
      <c r="S56" s="1211"/>
      <c r="T56" s="61"/>
      <c r="U56" s="40"/>
      <c r="V56" s="14"/>
      <c r="W56" s="61"/>
      <c r="X56" s="63"/>
    </row>
    <row r="57" spans="1:24" ht="9.75" customHeight="1">
      <c r="A57" s="2100" t="s">
        <v>1648</v>
      </c>
      <c r="B57" s="2100"/>
      <c r="C57" s="2100"/>
      <c r="D57" s="2100"/>
      <c r="E57" s="1033"/>
      <c r="F57" s="2079" t="s">
        <v>2126</v>
      </c>
      <c r="G57" s="2079"/>
      <c r="H57" s="1033"/>
      <c r="I57" s="61"/>
      <c r="J57" s="61"/>
      <c r="K57" s="61"/>
      <c r="L57" s="2101"/>
      <c r="M57" s="2101"/>
      <c r="N57" s="2101"/>
      <c r="O57" s="61"/>
      <c r="P57" s="61"/>
      <c r="Q57" s="61"/>
      <c r="R57" s="61"/>
      <c r="S57" s="37"/>
      <c r="T57" s="61"/>
      <c r="U57" s="61"/>
      <c r="V57" s="61"/>
      <c r="W57" s="61"/>
      <c r="X57" s="63"/>
    </row>
    <row r="58" spans="1:24">
      <c r="N58" s="63"/>
      <c r="S58" s="37"/>
    </row>
    <row r="59" spans="1:24">
      <c r="G59" s="105"/>
      <c r="S59" s="37"/>
      <c r="W59" s="992"/>
    </row>
    <row r="60" spans="1:24">
      <c r="M60" s="63"/>
    </row>
    <row r="61" spans="1:24">
      <c r="M61" s="63"/>
      <c r="P61" s="63"/>
      <c r="Q61" s="63"/>
      <c r="R61" s="63"/>
    </row>
    <row r="62" spans="1:24">
      <c r="M62" s="63"/>
      <c r="N62" s="63"/>
    </row>
    <row r="63" spans="1:24">
      <c r="M63" s="63"/>
    </row>
    <row r="64" spans="1:24">
      <c r="M64" s="63"/>
      <c r="N64" s="63"/>
    </row>
    <row r="65" spans="13:14">
      <c r="M65" s="63"/>
    </row>
    <row r="66" spans="13:14">
      <c r="M66" s="63"/>
      <c r="N66" s="63"/>
    </row>
    <row r="67" spans="13:14">
      <c r="M67" s="63"/>
      <c r="N67" s="63"/>
    </row>
    <row r="68" spans="13:14">
      <c r="M68" s="63"/>
      <c r="N68" s="63"/>
    </row>
    <row r="69" spans="13:14">
      <c r="M69" s="63"/>
      <c r="N69" s="63"/>
    </row>
    <row r="70" spans="13:14">
      <c r="M70" s="63"/>
      <c r="N70" s="63"/>
    </row>
    <row r="71" spans="13:14">
      <c r="N71" s="63"/>
    </row>
    <row r="72" spans="13:14">
      <c r="N72" s="63"/>
    </row>
  </sheetData>
  <mergeCells count="42">
    <mergeCell ref="A56:F56"/>
    <mergeCell ref="L56:O56"/>
    <mergeCell ref="Q56:R56"/>
    <mergeCell ref="A57:D57"/>
    <mergeCell ref="F57:G57"/>
    <mergeCell ref="L57:N57"/>
    <mergeCell ref="A3:A5"/>
    <mergeCell ref="S7:T7"/>
    <mergeCell ref="S6:T6"/>
    <mergeCell ref="S3:W3"/>
    <mergeCell ref="S4:T4"/>
    <mergeCell ref="S5:T5"/>
    <mergeCell ref="Q3:Q4"/>
    <mergeCell ref="C3:C4"/>
    <mergeCell ref="D3:D4"/>
    <mergeCell ref="H3:H4"/>
    <mergeCell ref="I3:I4"/>
    <mergeCell ref="L3:L4"/>
    <mergeCell ref="J3:J4"/>
    <mergeCell ref="P3:P4"/>
    <mergeCell ref="N3:N4"/>
    <mergeCell ref="O3:O4"/>
    <mergeCell ref="S11:T11"/>
    <mergeCell ref="S12:T12"/>
    <mergeCell ref="S13:T13"/>
    <mergeCell ref="S8:T8"/>
    <mergeCell ref="S9:T9"/>
    <mergeCell ref="S10:T10"/>
    <mergeCell ref="U1:W1"/>
    <mergeCell ref="D2:E2"/>
    <mergeCell ref="J2:K2"/>
    <mergeCell ref="V2:W2"/>
    <mergeCell ref="B1:K1"/>
    <mergeCell ref="L1:O1"/>
    <mergeCell ref="L2:P2"/>
    <mergeCell ref="R3:R4"/>
    <mergeCell ref="K3:K4"/>
    <mergeCell ref="M3:M4"/>
    <mergeCell ref="B3:B4"/>
    <mergeCell ref="E3:E4"/>
    <mergeCell ref="F3:F4"/>
    <mergeCell ref="G3:G4"/>
  </mergeCells>
  <phoneticPr fontId="43" type="noConversion"/>
  <pageMargins left="0.47244094488188998" right="0.47244094488188998" top="0.511811023622047" bottom="0" header="0" footer="0"/>
  <pageSetup paperSize="448" firstPageNumber="50" orientation="portrait" useFirstPageNumber="1" r:id="rId1"/>
  <headerFooter>
    <oddFooter>&amp;C&amp;"Times New Roman,Regular"&amp;8&amp;P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3"/>
  <dimension ref="A1:J125"/>
  <sheetViews>
    <sheetView zoomScale="202" zoomScaleNormal="202" workbookViewId="0">
      <pane xSplit="1" ySplit="3" topLeftCell="B48" activePane="bottomRight" state="frozen"/>
      <selection activeCell="F85" sqref="F85"/>
      <selection pane="topRight" activeCell="F85" sqref="F85"/>
      <selection pane="bottomLeft" activeCell="F85" sqref="F85"/>
      <selection pane="bottomRight" activeCell="A4" sqref="A4:XFD51"/>
    </sheetView>
  </sheetViews>
  <sheetFormatPr defaultColWidth="9.140625" defaultRowHeight="12.75"/>
  <cols>
    <col min="1" max="1" width="10.140625" style="2" customWidth="1"/>
    <col min="2" max="3" width="15.7109375" style="118" customWidth="1"/>
    <col min="4" max="4" width="17.42578125" style="118" customWidth="1"/>
    <col min="5" max="5" width="15.42578125" style="118" customWidth="1"/>
    <col min="6" max="6" width="13.28515625" style="2" customWidth="1"/>
    <col min="7" max="7" width="14.140625" style="2" customWidth="1"/>
    <col min="8" max="8" width="14.28515625" style="2" customWidth="1"/>
    <col min="9" max="9" width="19" style="2" customWidth="1"/>
    <col min="10" max="10" width="11.28515625" style="2" customWidth="1"/>
    <col min="11" max="16384" width="9.140625" style="2"/>
  </cols>
  <sheetData>
    <row r="1" spans="1:10" s="5" customFormat="1" ht="15.75" customHeight="1">
      <c r="A1" s="2102" t="s">
        <v>1693</v>
      </c>
      <c r="B1" s="2102"/>
      <c r="C1" s="2102"/>
      <c r="D1" s="2102"/>
      <c r="E1" s="2102"/>
      <c r="F1" s="2103" t="s">
        <v>1787</v>
      </c>
      <c r="G1" s="2103"/>
      <c r="H1" s="2103"/>
      <c r="I1" s="2103"/>
      <c r="J1" s="1401" t="s">
        <v>401</v>
      </c>
    </row>
    <row r="2" spans="1:10" s="5" customFormat="1" ht="11.1" customHeight="1">
      <c r="A2" s="1318"/>
      <c r="B2" s="1318"/>
      <c r="C2" s="1318"/>
      <c r="D2" s="1318"/>
      <c r="G2" s="85"/>
      <c r="H2" s="107"/>
      <c r="I2" s="107"/>
      <c r="J2" s="119"/>
    </row>
    <row r="3" spans="1:10" s="130" customFormat="1" ht="26.45" customHeight="1">
      <c r="A3" s="1399" t="s">
        <v>1221</v>
      </c>
      <c r="B3" s="926" t="s">
        <v>1771</v>
      </c>
      <c r="C3" s="1398" t="s">
        <v>1819</v>
      </c>
      <c r="D3" s="1398" t="s">
        <v>1772</v>
      </c>
      <c r="E3" s="1398" t="s">
        <v>1774</v>
      </c>
      <c r="F3" s="1399" t="s">
        <v>1222</v>
      </c>
      <c r="G3" s="1399" t="s">
        <v>1352</v>
      </c>
      <c r="H3" s="1399" t="s">
        <v>1773</v>
      </c>
      <c r="I3" s="1399" t="s">
        <v>1772</v>
      </c>
      <c r="J3" s="1399" t="s">
        <v>1775</v>
      </c>
    </row>
    <row r="4" spans="1:10" s="12" customFormat="1" ht="11.45" customHeight="1">
      <c r="A4" s="384" t="s">
        <v>83</v>
      </c>
      <c r="B4" s="370">
        <v>6153.68</v>
      </c>
      <c r="C4" s="372">
        <v>256353.55100000001</v>
      </c>
      <c r="D4" s="372">
        <v>21744.6</v>
      </c>
      <c r="E4" s="370">
        <v>273</v>
      </c>
      <c r="F4" s="1146">
        <v>44348</v>
      </c>
      <c r="G4" s="367">
        <v>5993.33</v>
      </c>
      <c r="H4" s="1376">
        <v>1903.5260000000001</v>
      </c>
      <c r="I4" s="1376">
        <v>85204.7</v>
      </c>
      <c r="J4" s="366">
        <v>382</v>
      </c>
    </row>
    <row r="5" spans="1:10" s="242" customFormat="1" ht="11.45" customHeight="1">
      <c r="A5" s="184" t="s">
        <v>225</v>
      </c>
      <c r="B5" s="35">
        <v>6117.23</v>
      </c>
      <c r="C5" s="36">
        <v>325879.77</v>
      </c>
      <c r="D5" s="36">
        <v>30104.5</v>
      </c>
      <c r="E5" s="35">
        <v>267</v>
      </c>
      <c r="F5" s="1080">
        <v>44349</v>
      </c>
      <c r="G5" s="456">
        <v>6019</v>
      </c>
      <c r="H5" s="456">
        <v>2287.3270000000002</v>
      </c>
      <c r="I5" s="681">
        <v>85204.7</v>
      </c>
      <c r="J5" s="324">
        <v>382</v>
      </c>
    </row>
    <row r="6" spans="1:10" s="702" customFormat="1" ht="11.45" customHeight="1">
      <c r="A6" s="493" t="s">
        <v>972</v>
      </c>
      <c r="B6" s="367">
        <v>4572.88</v>
      </c>
      <c r="C6" s="367">
        <v>117145.07</v>
      </c>
      <c r="D6" s="367">
        <v>38410.899999999994</v>
      </c>
      <c r="E6" s="366">
        <v>279</v>
      </c>
      <c r="F6" s="1146">
        <v>44350</v>
      </c>
      <c r="G6" s="472">
        <v>6053.43</v>
      </c>
      <c r="H6" s="472">
        <v>2182.2510000000002</v>
      </c>
      <c r="I6" s="1376">
        <v>85204.7</v>
      </c>
      <c r="J6" s="366">
        <v>382</v>
      </c>
    </row>
    <row r="7" spans="1:10" s="856" customFormat="1" ht="11.45" customHeight="1">
      <c r="A7" s="479" t="s">
        <v>1107</v>
      </c>
      <c r="B7" s="325">
        <v>4385.7700000000004</v>
      </c>
      <c r="C7" s="325">
        <v>85716.56</v>
      </c>
      <c r="D7" s="325">
        <v>43407.3</v>
      </c>
      <c r="E7" s="324">
        <v>296</v>
      </c>
      <c r="F7" s="1080">
        <v>44353</v>
      </c>
      <c r="G7" s="456">
        <v>6038.29</v>
      </c>
      <c r="H7" s="456">
        <v>2669.3890000000001</v>
      </c>
      <c r="I7" s="681">
        <v>85204.7</v>
      </c>
      <c r="J7" s="324">
        <v>382</v>
      </c>
    </row>
    <row r="8" spans="1:10" s="89" customFormat="1" ht="11.45" customHeight="1">
      <c r="A8" s="384" t="s">
        <v>1347</v>
      </c>
      <c r="B8" s="372">
        <v>4480.5200000000004</v>
      </c>
      <c r="C8" s="372">
        <v>112539.85800000001</v>
      </c>
      <c r="D8" s="372">
        <v>48255.5</v>
      </c>
      <c r="E8" s="370">
        <v>307</v>
      </c>
      <c r="F8" s="1146">
        <v>44354</v>
      </c>
      <c r="G8" s="472">
        <v>5975.85</v>
      </c>
      <c r="H8" s="472">
        <v>2083.2809999999999</v>
      </c>
      <c r="I8" s="1376">
        <v>85204.7</v>
      </c>
      <c r="J8" s="366">
        <v>382</v>
      </c>
    </row>
    <row r="9" spans="1:10" s="593" customFormat="1" ht="11.45" customHeight="1">
      <c r="A9" s="479" t="s">
        <v>1406</v>
      </c>
      <c r="B9" s="325">
        <v>4583.1099999999997</v>
      </c>
      <c r="C9" s="325">
        <v>112351.91100000001</v>
      </c>
      <c r="D9" s="325">
        <v>54300.800000000003</v>
      </c>
      <c r="E9" s="324">
        <v>326</v>
      </c>
      <c r="F9" s="1080">
        <v>44355</v>
      </c>
      <c r="G9" s="456">
        <v>6023.15</v>
      </c>
      <c r="H9" s="456">
        <v>2065.7559999999999</v>
      </c>
      <c r="I9" s="681">
        <v>85204.7</v>
      </c>
      <c r="J9" s="324">
        <v>382</v>
      </c>
    </row>
    <row r="10" spans="1:10" s="89" customFormat="1" ht="11.45" customHeight="1">
      <c r="A10" s="493" t="s">
        <v>1560</v>
      </c>
      <c r="B10" s="367">
        <v>4507.58</v>
      </c>
      <c r="C10" s="367">
        <v>107246.07099999998</v>
      </c>
      <c r="D10" s="367">
        <v>57846.400000000001</v>
      </c>
      <c r="E10" s="366">
        <v>330</v>
      </c>
      <c r="F10" s="1146">
        <v>44356</v>
      </c>
      <c r="G10" s="472">
        <v>6055.05</v>
      </c>
      <c r="H10" s="472">
        <v>2700.5549999999998</v>
      </c>
      <c r="I10" s="1376">
        <v>85204.7</v>
      </c>
      <c r="J10" s="366">
        <v>382</v>
      </c>
    </row>
    <row r="11" spans="1:10" s="593" customFormat="1" ht="11.45" customHeight="1">
      <c r="A11" s="479" t="s">
        <v>1596</v>
      </c>
      <c r="B11" s="325">
        <v>5656.05</v>
      </c>
      <c r="C11" s="325">
        <v>180522.2</v>
      </c>
      <c r="D11" s="325">
        <v>61656.5</v>
      </c>
      <c r="E11" s="324">
        <v>334</v>
      </c>
      <c r="F11" s="1080">
        <v>44357</v>
      </c>
      <c r="G11" s="456">
        <v>6066.64</v>
      </c>
      <c r="H11" s="456">
        <v>2669.26</v>
      </c>
      <c r="I11" s="681">
        <v>85204.7</v>
      </c>
      <c r="J11" s="324">
        <v>382</v>
      </c>
    </row>
    <row r="12" spans="1:10" s="593" customFormat="1" ht="11.45" customHeight="1">
      <c r="A12" s="1402" t="s">
        <v>1756</v>
      </c>
      <c r="B12" s="417">
        <v>5405.46</v>
      </c>
      <c r="C12" s="417">
        <v>159085.19200000001</v>
      </c>
      <c r="D12" s="417">
        <v>67071.899999999994</v>
      </c>
      <c r="E12" s="668">
        <v>343</v>
      </c>
      <c r="F12" s="1146">
        <v>44360</v>
      </c>
      <c r="G12" s="472">
        <v>6036.05</v>
      </c>
      <c r="H12" s="472">
        <v>2069.076</v>
      </c>
      <c r="I12" s="1376">
        <v>85204.7</v>
      </c>
      <c r="J12" s="366">
        <v>382</v>
      </c>
    </row>
    <row r="13" spans="1:10" s="593" customFormat="1" ht="11.45" customHeight="1">
      <c r="A13" s="1283" t="s">
        <v>1904</v>
      </c>
      <c r="B13" s="427">
        <f>B25</f>
        <v>5421.62</v>
      </c>
      <c r="C13" s="427">
        <f>SUM(C14:C25)</f>
        <v>145965.53900000002</v>
      </c>
      <c r="D13" s="427">
        <f>D25</f>
        <v>71962.899999999994</v>
      </c>
      <c r="E13" s="605">
        <f>E25</f>
        <v>355</v>
      </c>
      <c r="F13" s="1080">
        <v>44361</v>
      </c>
      <c r="G13" s="456">
        <v>6013.62</v>
      </c>
      <c r="H13" s="456">
        <v>1740.1669999999999</v>
      </c>
      <c r="I13" s="681">
        <v>85204.7</v>
      </c>
      <c r="J13" s="324">
        <v>382</v>
      </c>
    </row>
    <row r="14" spans="1:10" s="593" customFormat="1" ht="11.45" customHeight="1">
      <c r="A14" s="493" t="s">
        <v>742</v>
      </c>
      <c r="B14" s="367">
        <v>5302.64</v>
      </c>
      <c r="C14" s="367">
        <v>18676.947</v>
      </c>
      <c r="D14" s="367">
        <f>67113.716+300</f>
        <v>67413.716</v>
      </c>
      <c r="E14" s="366">
        <f>342+1</f>
        <v>343</v>
      </c>
      <c r="F14" s="1146">
        <v>44362</v>
      </c>
      <c r="G14" s="472">
        <v>6022.31</v>
      </c>
      <c r="H14" s="1376">
        <v>2032.586</v>
      </c>
      <c r="I14" s="1376">
        <v>85204.7</v>
      </c>
      <c r="J14" s="366">
        <v>382</v>
      </c>
    </row>
    <row r="15" spans="1:10" s="593" customFormat="1" ht="11.45" customHeight="1">
      <c r="A15" s="479" t="s">
        <v>743</v>
      </c>
      <c r="B15" s="325">
        <v>5600.64</v>
      </c>
      <c r="C15" s="325">
        <v>11495.259</v>
      </c>
      <c r="D15" s="325">
        <f>67214.5+300</f>
        <v>67514.5</v>
      </c>
      <c r="E15" s="324">
        <f>343+1</f>
        <v>344</v>
      </c>
      <c r="F15" s="1080">
        <v>44363</v>
      </c>
      <c r="G15" s="456">
        <v>6051.74</v>
      </c>
      <c r="H15" s="681">
        <v>2109.6869999999999</v>
      </c>
      <c r="I15" s="681">
        <v>85204.7</v>
      </c>
      <c r="J15" s="324">
        <v>382</v>
      </c>
    </row>
    <row r="16" spans="1:10" s="593" customFormat="1" ht="11.45" customHeight="1">
      <c r="A16" s="493" t="s">
        <v>737</v>
      </c>
      <c r="B16" s="367">
        <v>5368.96</v>
      </c>
      <c r="C16" s="367">
        <v>14810.267</v>
      </c>
      <c r="D16" s="367">
        <f>67655.4+300</f>
        <v>67955.399999999994</v>
      </c>
      <c r="E16" s="366">
        <f>345+1</f>
        <v>346</v>
      </c>
      <c r="F16" s="1146">
        <v>44364</v>
      </c>
      <c r="G16" s="472">
        <v>6052.76</v>
      </c>
      <c r="H16" s="1376">
        <v>1847.164</v>
      </c>
      <c r="I16" s="1376">
        <v>85204.7</v>
      </c>
      <c r="J16" s="366">
        <v>382</v>
      </c>
    </row>
    <row r="17" spans="1:10" s="593" customFormat="1" ht="11.45" customHeight="1">
      <c r="A17" s="479" t="s">
        <v>744</v>
      </c>
      <c r="B17" s="325">
        <v>5284.13</v>
      </c>
      <c r="C17" s="325">
        <v>12737.053</v>
      </c>
      <c r="D17" s="325">
        <f>67997.9+300</f>
        <v>68297.899999999994</v>
      </c>
      <c r="E17" s="324">
        <f>347+1</f>
        <v>348</v>
      </c>
      <c r="F17" s="1080">
        <v>44367</v>
      </c>
      <c r="G17" s="456">
        <v>6069.41</v>
      </c>
      <c r="H17" s="681">
        <v>1835.2539999999999</v>
      </c>
      <c r="I17" s="681">
        <v>85204.7</v>
      </c>
      <c r="J17" s="324">
        <v>382</v>
      </c>
    </row>
    <row r="18" spans="1:10" s="593" customFormat="1" ht="11.45" customHeight="1">
      <c r="A18" s="493" t="s">
        <v>745</v>
      </c>
      <c r="B18" s="367">
        <v>5281.25</v>
      </c>
      <c r="C18" s="367">
        <v>11673.793</v>
      </c>
      <c r="D18" s="367">
        <f>68183+300</f>
        <v>68483</v>
      </c>
      <c r="E18" s="366">
        <f>348+1</f>
        <v>349</v>
      </c>
      <c r="F18" s="1146">
        <v>44368</v>
      </c>
      <c r="G18" s="472">
        <v>6125.41</v>
      </c>
      <c r="H18" s="1376">
        <v>2043.4829999999999</v>
      </c>
      <c r="I18" s="1376">
        <v>85204.7</v>
      </c>
      <c r="J18" s="366">
        <v>382</v>
      </c>
    </row>
    <row r="19" spans="1:10" s="593" customFormat="1" ht="11.45" customHeight="1">
      <c r="A19" s="479" t="s">
        <v>738</v>
      </c>
      <c r="B19" s="325">
        <v>5385.64</v>
      </c>
      <c r="C19" s="325">
        <v>8705.6419999999998</v>
      </c>
      <c r="D19" s="325">
        <f>69106.1+300</f>
        <v>69406.100000000006</v>
      </c>
      <c r="E19" s="324">
        <f>348+1</f>
        <v>349</v>
      </c>
      <c r="F19" s="1080">
        <v>44369</v>
      </c>
      <c r="G19" s="456">
        <v>6105.73</v>
      </c>
      <c r="H19" s="681">
        <v>2017.568</v>
      </c>
      <c r="I19" s="681">
        <v>85204.7</v>
      </c>
      <c r="J19" s="324">
        <v>382</v>
      </c>
    </row>
    <row r="20" spans="1:10" s="593" customFormat="1" ht="11.45" customHeight="1">
      <c r="A20" s="493" t="s">
        <v>746</v>
      </c>
      <c r="B20" s="367">
        <v>5821.01</v>
      </c>
      <c r="C20" s="367">
        <v>22347.945</v>
      </c>
      <c r="D20" s="367">
        <f>69358.3+300</f>
        <v>69658.3</v>
      </c>
      <c r="E20" s="366">
        <f>349+1</f>
        <v>350</v>
      </c>
      <c r="F20" s="1146">
        <v>44370</v>
      </c>
      <c r="G20" s="472">
        <v>6035.84</v>
      </c>
      <c r="H20" s="1376">
        <v>2030.037</v>
      </c>
      <c r="I20" s="1376">
        <v>85204.7</v>
      </c>
      <c r="J20" s="366">
        <v>382</v>
      </c>
    </row>
    <row r="21" spans="1:10" s="593" customFormat="1" ht="11.45" customHeight="1">
      <c r="A21" s="479" t="s">
        <v>747</v>
      </c>
      <c r="B21" s="325">
        <v>5711.83</v>
      </c>
      <c r="C21" s="325">
        <v>13779.138000000001</v>
      </c>
      <c r="D21" s="325">
        <f>69439.9+300</f>
        <v>69739.899999999994</v>
      </c>
      <c r="E21" s="324">
        <f>350+1</f>
        <v>351</v>
      </c>
      <c r="F21" s="1080">
        <v>44371</v>
      </c>
      <c r="G21" s="456">
        <v>6092.84</v>
      </c>
      <c r="H21" s="681">
        <v>1597.95</v>
      </c>
      <c r="I21" s="681">
        <v>85204.7</v>
      </c>
      <c r="J21" s="324">
        <v>382</v>
      </c>
    </row>
    <row r="22" spans="1:10" s="593" customFormat="1" ht="11.45" customHeight="1">
      <c r="A22" s="493" t="s">
        <v>739</v>
      </c>
      <c r="B22" s="367">
        <v>5491.91</v>
      </c>
      <c r="C22" s="367">
        <v>9391.7849999999999</v>
      </c>
      <c r="D22" s="367">
        <f>69560.2+300</f>
        <v>69860.2</v>
      </c>
      <c r="E22" s="366">
        <f>351+1</f>
        <v>352</v>
      </c>
      <c r="F22" s="1146">
        <v>44374</v>
      </c>
      <c r="G22" s="472">
        <v>5992.73</v>
      </c>
      <c r="H22" s="1376">
        <v>1740.181</v>
      </c>
      <c r="I22" s="1376">
        <v>85204.7</v>
      </c>
      <c r="J22" s="366">
        <v>382</v>
      </c>
    </row>
    <row r="23" spans="1:10" s="593" customFormat="1" ht="11.45" customHeight="1">
      <c r="A23" s="479" t="s">
        <v>748</v>
      </c>
      <c r="B23" s="325">
        <v>5202.8500000000004</v>
      </c>
      <c r="C23" s="325">
        <v>6981.5720000000001</v>
      </c>
      <c r="D23" s="325">
        <f>70397.4+300</f>
        <v>70697.399999999994</v>
      </c>
      <c r="E23" s="324">
        <f>352+1</f>
        <v>353</v>
      </c>
      <c r="F23" s="1080">
        <v>44375</v>
      </c>
      <c r="G23" s="456">
        <v>6026.65</v>
      </c>
      <c r="H23" s="681">
        <v>1328.4949999999999</v>
      </c>
      <c r="I23" s="681">
        <v>85204.7</v>
      </c>
      <c r="J23" s="324">
        <v>382</v>
      </c>
    </row>
    <row r="24" spans="1:10" s="593" customFormat="1" ht="11.45" customHeight="1">
      <c r="A24" s="493" t="s">
        <v>749</v>
      </c>
      <c r="B24" s="367">
        <v>5377.75</v>
      </c>
      <c r="C24" s="367">
        <v>7716.125</v>
      </c>
      <c r="D24" s="367">
        <f>70954.2+300</f>
        <v>71254.2</v>
      </c>
      <c r="E24" s="366">
        <f>354+1</f>
        <v>355</v>
      </c>
      <c r="F24" s="1146">
        <v>44376</v>
      </c>
      <c r="G24" s="472">
        <v>6042.5</v>
      </c>
      <c r="H24" s="1376">
        <v>1148.0889999999999</v>
      </c>
      <c r="I24" s="1376">
        <v>85204.7</v>
      </c>
      <c r="J24" s="366">
        <v>382</v>
      </c>
    </row>
    <row r="25" spans="1:10" s="593" customFormat="1" ht="11.45" customHeight="1" thickBot="1">
      <c r="A25" s="479" t="s">
        <v>740</v>
      </c>
      <c r="B25" s="325">
        <v>5421.62</v>
      </c>
      <c r="C25" s="325">
        <v>7650.0129999999999</v>
      </c>
      <c r="D25" s="325">
        <f>71662.9+300</f>
        <v>71962.899999999994</v>
      </c>
      <c r="E25" s="324">
        <f>354+1</f>
        <v>355</v>
      </c>
      <c r="F25" s="1595">
        <v>44377</v>
      </c>
      <c r="G25" s="1596">
        <v>6150.48</v>
      </c>
      <c r="H25" s="1597">
        <v>1407.8979999999999</v>
      </c>
      <c r="I25" s="1597">
        <v>85204.7</v>
      </c>
      <c r="J25" s="565">
        <v>382</v>
      </c>
    </row>
    <row r="26" spans="1:10" s="593" customFormat="1" ht="11.45" customHeight="1">
      <c r="A26" s="700" t="s">
        <v>2017</v>
      </c>
      <c r="B26" s="417">
        <f>B38</f>
        <v>3989.09</v>
      </c>
      <c r="C26" s="417">
        <f>SUM(C27:C38)</f>
        <v>78042.763000000006</v>
      </c>
      <c r="D26" s="417">
        <f>D38</f>
        <v>75486.8</v>
      </c>
      <c r="E26" s="668">
        <f>E38</f>
        <v>362</v>
      </c>
      <c r="F26" s="627"/>
      <c r="G26" s="415"/>
      <c r="H26" s="271"/>
      <c r="I26" s="36"/>
      <c r="J26" s="35"/>
    </row>
    <row r="27" spans="1:10" s="593" customFormat="1" ht="11.45" customHeight="1">
      <c r="A27" s="696" t="s">
        <v>742</v>
      </c>
      <c r="B27" s="325">
        <v>5138.79</v>
      </c>
      <c r="C27" s="325">
        <v>8946.8590000000004</v>
      </c>
      <c r="D27" s="325">
        <f>72012.8+300</f>
        <v>72312.800000000003</v>
      </c>
      <c r="E27" s="324">
        <f>355+1</f>
        <v>356</v>
      </c>
      <c r="F27" s="627"/>
      <c r="G27" s="415"/>
      <c r="H27" s="271"/>
      <c r="I27" s="36"/>
      <c r="J27" s="35"/>
    </row>
    <row r="28" spans="1:10" s="593" customFormat="1" ht="11.45" customHeight="1">
      <c r="A28" s="699" t="s">
        <v>743</v>
      </c>
      <c r="B28" s="367">
        <v>5095.78</v>
      </c>
      <c r="C28" s="367">
        <v>7397.7640000000001</v>
      </c>
      <c r="D28" s="367">
        <f>72547.134+300</f>
        <v>72847.134000000005</v>
      </c>
      <c r="E28" s="366">
        <f>356+1</f>
        <v>357</v>
      </c>
      <c r="F28" s="627"/>
      <c r="G28" s="415"/>
      <c r="H28" s="271"/>
      <c r="I28" s="36"/>
      <c r="J28" s="35"/>
    </row>
    <row r="29" spans="1:10" s="593" customFormat="1" ht="11.45" customHeight="1">
      <c r="A29" s="696" t="s">
        <v>737</v>
      </c>
      <c r="B29" s="325">
        <v>4947.6400000000003</v>
      </c>
      <c r="C29" s="325">
        <v>8495.2459999999992</v>
      </c>
      <c r="D29" s="325">
        <f>72722.5+300</f>
        <v>73022.5</v>
      </c>
      <c r="E29" s="324">
        <f>356+1</f>
        <v>357</v>
      </c>
      <c r="F29" s="627"/>
      <c r="G29" s="415"/>
      <c r="H29" s="271"/>
      <c r="I29" s="36"/>
      <c r="J29" s="35"/>
    </row>
    <row r="30" spans="1:10" s="593" customFormat="1" ht="11.45" customHeight="1">
      <c r="A30" s="699" t="s">
        <v>744</v>
      </c>
      <c r="B30" s="367">
        <v>4682.8999999999996</v>
      </c>
      <c r="C30" s="367">
        <v>7020.2250000000004</v>
      </c>
      <c r="D30" s="367">
        <f>72750.9+300</f>
        <v>73050.899999999994</v>
      </c>
      <c r="E30" s="366">
        <f>356+1</f>
        <v>357</v>
      </c>
      <c r="F30" s="627"/>
      <c r="G30" s="415"/>
      <c r="H30" s="271"/>
      <c r="I30" s="36"/>
      <c r="J30" s="35"/>
    </row>
    <row r="31" spans="1:10" s="593" customFormat="1" ht="11.45" customHeight="1">
      <c r="A31" s="696" t="s">
        <v>745</v>
      </c>
      <c r="B31" s="325">
        <v>4731.4399999999996</v>
      </c>
      <c r="C31" s="325">
        <v>7410.8810000000003</v>
      </c>
      <c r="D31" s="325">
        <f>72808.5+300</f>
        <v>73108.5</v>
      </c>
      <c r="E31" s="324">
        <f>356+1</f>
        <v>357</v>
      </c>
      <c r="F31" s="627"/>
      <c r="G31" s="415"/>
      <c r="H31" s="681"/>
      <c r="I31" s="36"/>
      <c r="J31" s="35"/>
    </row>
    <row r="32" spans="1:10" s="593" customFormat="1" ht="11.45" customHeight="1">
      <c r="A32" s="699" t="s">
        <v>738</v>
      </c>
      <c r="B32" s="367">
        <v>4452.93</v>
      </c>
      <c r="C32" s="367">
        <v>6702.7280000000001</v>
      </c>
      <c r="D32" s="367">
        <f>74286.6+300</f>
        <v>74586.600000000006</v>
      </c>
      <c r="E32" s="366">
        <f>357+1</f>
        <v>358</v>
      </c>
      <c r="F32" s="627"/>
      <c r="G32" s="415"/>
      <c r="H32" s="681"/>
      <c r="I32" s="36"/>
      <c r="J32" s="35"/>
    </row>
    <row r="33" spans="1:10" s="593" customFormat="1" ht="11.45" customHeight="1">
      <c r="A33" s="696" t="s">
        <v>746</v>
      </c>
      <c r="B33" s="325">
        <v>4469.66</v>
      </c>
      <c r="C33" s="325">
        <v>8072.23</v>
      </c>
      <c r="D33" s="325">
        <f>74447.5+400</f>
        <v>74847.5</v>
      </c>
      <c r="E33" s="324">
        <f>358+2</f>
        <v>360</v>
      </c>
      <c r="F33" s="627"/>
      <c r="G33" s="415"/>
      <c r="H33" s="271"/>
      <c r="I33" s="36"/>
      <c r="J33" s="35"/>
    </row>
    <row r="34" spans="1:10" s="593" customFormat="1" ht="11.45" customHeight="1">
      <c r="A34" s="699" t="s">
        <v>747</v>
      </c>
      <c r="B34" s="367">
        <v>4480.2299999999996</v>
      </c>
      <c r="C34" s="367">
        <v>12427.77</v>
      </c>
      <c r="D34" s="367">
        <f>74449.2+400</f>
        <v>74849.2</v>
      </c>
      <c r="E34" s="366">
        <f>358+2</f>
        <v>360</v>
      </c>
      <c r="F34" s="627"/>
      <c r="G34" s="415"/>
      <c r="H34" s="271"/>
      <c r="I34" s="36"/>
      <c r="J34" s="35"/>
    </row>
    <row r="35" spans="1:10" s="593" customFormat="1" ht="11.45" customHeight="1">
      <c r="A35" s="696" t="s">
        <v>739</v>
      </c>
      <c r="B35" s="325">
        <v>4008.29</v>
      </c>
      <c r="C35" s="325">
        <v>6645.64</v>
      </c>
      <c r="D35" s="325">
        <v>74849.2</v>
      </c>
      <c r="E35" s="324">
        <v>360</v>
      </c>
      <c r="F35" s="627"/>
      <c r="G35" s="415"/>
      <c r="H35" s="271"/>
      <c r="I35" s="36"/>
      <c r="J35" s="35"/>
    </row>
    <row r="36" spans="1:10" s="593" customFormat="1" ht="11.45" customHeight="1">
      <c r="A36" s="699" t="s">
        <v>748</v>
      </c>
      <c r="B36" s="367" t="s">
        <v>430</v>
      </c>
      <c r="C36" s="367" t="s">
        <v>430</v>
      </c>
      <c r="D36" s="367">
        <v>74849.2</v>
      </c>
      <c r="E36" s="366">
        <v>360</v>
      </c>
      <c r="F36" s="627"/>
      <c r="G36" s="415"/>
      <c r="H36" s="271"/>
      <c r="I36" s="36"/>
      <c r="J36" s="35"/>
    </row>
    <row r="37" spans="1:10" s="593" customFormat="1" ht="11.45" customHeight="1">
      <c r="A37" s="696" t="s">
        <v>749</v>
      </c>
      <c r="B37" s="325">
        <v>4060.45</v>
      </c>
      <c r="C37" s="325">
        <v>143.29</v>
      </c>
      <c r="D37" s="325">
        <v>74849.2</v>
      </c>
      <c r="E37" s="324">
        <v>360</v>
      </c>
      <c r="F37" s="627"/>
      <c r="G37" s="415"/>
      <c r="H37" s="271"/>
      <c r="I37" s="36"/>
      <c r="J37" s="35"/>
    </row>
    <row r="38" spans="1:10" s="593" customFormat="1" ht="11.45" customHeight="1">
      <c r="A38" s="699" t="s">
        <v>740</v>
      </c>
      <c r="B38" s="367">
        <v>3989.09</v>
      </c>
      <c r="C38" s="367">
        <v>4780.13</v>
      </c>
      <c r="D38" s="367">
        <v>75486.8</v>
      </c>
      <c r="E38" s="366">
        <v>362</v>
      </c>
      <c r="F38" s="627"/>
      <c r="G38" s="415"/>
      <c r="H38" s="271"/>
      <c r="I38" s="36"/>
      <c r="J38" s="35"/>
    </row>
    <row r="39" spans="1:10" s="593" customFormat="1" ht="11.45" customHeight="1">
      <c r="A39" s="701" t="s">
        <v>2114</v>
      </c>
      <c r="B39" s="427">
        <f>B51</f>
        <v>6150.48</v>
      </c>
      <c r="C39" s="427">
        <f>SUM(C40:C51)</f>
        <v>254697.05800000005</v>
      </c>
      <c r="D39" s="427">
        <f>D51</f>
        <v>85204.7</v>
      </c>
      <c r="E39" s="605">
        <f>E51</f>
        <v>382</v>
      </c>
      <c r="F39" s="627"/>
      <c r="G39" s="35"/>
      <c r="H39" s="271"/>
      <c r="I39" s="36"/>
      <c r="J39" s="35"/>
    </row>
    <row r="40" spans="1:10" s="593" customFormat="1" ht="11.45" customHeight="1">
      <c r="A40" s="699" t="s">
        <v>742</v>
      </c>
      <c r="B40" s="367">
        <v>4214.43</v>
      </c>
      <c r="C40" s="367">
        <v>6001.37</v>
      </c>
      <c r="D40" s="367">
        <v>75201.399999999994</v>
      </c>
      <c r="E40" s="366">
        <v>361</v>
      </c>
      <c r="F40" s="627"/>
      <c r="G40" s="35"/>
      <c r="H40" s="271"/>
      <c r="I40" s="36"/>
      <c r="J40" s="35"/>
    </row>
    <row r="41" spans="1:10" s="593" customFormat="1" ht="11.45" customHeight="1">
      <c r="A41" s="696" t="s">
        <v>743</v>
      </c>
      <c r="B41" s="325">
        <v>4879.1499999999996</v>
      </c>
      <c r="C41" s="325">
        <v>18617.810000000001</v>
      </c>
      <c r="D41" s="325">
        <v>75706.7</v>
      </c>
      <c r="E41" s="324">
        <v>362</v>
      </c>
      <c r="F41" s="627"/>
      <c r="G41" s="35"/>
      <c r="H41" s="271"/>
      <c r="I41" s="36"/>
      <c r="J41" s="35"/>
    </row>
    <row r="42" spans="1:10" s="593" customFormat="1" ht="11.45" customHeight="1">
      <c r="A42" s="699" t="s">
        <v>737</v>
      </c>
      <c r="B42" s="367">
        <v>4963.29</v>
      </c>
      <c r="C42" s="367">
        <v>22257.81</v>
      </c>
      <c r="D42" s="367">
        <v>76303.399999999994</v>
      </c>
      <c r="E42" s="366">
        <v>363</v>
      </c>
      <c r="F42" s="627"/>
      <c r="G42" s="35"/>
      <c r="H42" s="271"/>
      <c r="I42" s="36"/>
      <c r="J42" s="35"/>
    </row>
    <row r="43" spans="1:10" s="593" customFormat="1" ht="11.45" customHeight="1">
      <c r="A43" s="696" t="s">
        <v>744</v>
      </c>
      <c r="B43" s="325">
        <v>4846.1000000000004</v>
      </c>
      <c r="C43" s="325">
        <v>17039.789000000001</v>
      </c>
      <c r="D43" s="325">
        <v>76688.3</v>
      </c>
      <c r="E43" s="324">
        <v>364</v>
      </c>
      <c r="F43" s="627"/>
      <c r="G43" s="35"/>
      <c r="H43" s="271"/>
      <c r="I43" s="36"/>
      <c r="J43" s="35"/>
    </row>
    <row r="44" spans="1:10" s="593" customFormat="1" ht="11.45" customHeight="1">
      <c r="A44" s="699" t="s">
        <v>745</v>
      </c>
      <c r="B44" s="367">
        <v>4866.84</v>
      </c>
      <c r="C44" s="367">
        <v>17407.37</v>
      </c>
      <c r="D44" s="367">
        <v>76715.399999999994</v>
      </c>
      <c r="E44" s="366">
        <v>364</v>
      </c>
      <c r="F44" s="627"/>
      <c r="G44" s="35"/>
      <c r="H44" s="271"/>
      <c r="I44" s="36"/>
      <c r="J44" s="35"/>
    </row>
    <row r="45" spans="1:10" s="593" customFormat="1" ht="11.45" customHeight="1">
      <c r="A45" s="696" t="s">
        <v>738</v>
      </c>
      <c r="B45" s="325">
        <v>5402.07</v>
      </c>
      <c r="C45" s="325">
        <v>21588.019</v>
      </c>
      <c r="D45" s="325">
        <f>82233.3+400</f>
        <v>82633.3</v>
      </c>
      <c r="E45" s="324">
        <f>366+2</f>
        <v>368</v>
      </c>
      <c r="F45" s="627"/>
      <c r="G45" s="35"/>
      <c r="H45" s="271"/>
      <c r="I45" s="36"/>
      <c r="J45" s="35"/>
    </row>
    <row r="46" spans="1:10" s="593" customFormat="1" ht="11.45" customHeight="1">
      <c r="A46" s="699" t="s">
        <v>746</v>
      </c>
      <c r="B46" s="367">
        <v>5649.86</v>
      </c>
      <c r="C46" s="367">
        <v>33958.758000000002</v>
      </c>
      <c r="D46" s="367">
        <f>81599.5+400</f>
        <v>81999.5</v>
      </c>
      <c r="E46" s="366">
        <f>366+2</f>
        <v>368</v>
      </c>
      <c r="F46" s="627"/>
      <c r="G46" s="35"/>
      <c r="H46" s="271"/>
      <c r="I46" s="36"/>
      <c r="J46" s="35"/>
    </row>
    <row r="47" spans="1:10" s="593" customFormat="1" ht="11.45" customHeight="1">
      <c r="A47" s="696" t="s">
        <v>747</v>
      </c>
      <c r="B47" s="325">
        <v>5404.8</v>
      </c>
      <c r="C47" s="325">
        <v>14449.043</v>
      </c>
      <c r="D47" s="325">
        <f>81884+400</f>
        <v>82284</v>
      </c>
      <c r="E47" s="324">
        <f>369+2</f>
        <v>371</v>
      </c>
      <c r="F47" s="627"/>
      <c r="G47" s="35"/>
      <c r="H47" s="271"/>
      <c r="I47" s="36"/>
      <c r="J47" s="35"/>
    </row>
    <row r="48" spans="1:10" s="593" customFormat="1" ht="11.45" customHeight="1">
      <c r="A48" s="699" t="s">
        <v>739</v>
      </c>
      <c r="B48" s="367">
        <v>5278.16</v>
      </c>
      <c r="C48" s="367">
        <v>14480.409</v>
      </c>
      <c r="D48" s="367">
        <f>83167.6+400</f>
        <v>83567.600000000006</v>
      </c>
      <c r="E48" s="366">
        <f>372+2</f>
        <v>374</v>
      </c>
      <c r="F48" s="627"/>
      <c r="G48" s="35"/>
      <c r="H48" s="271"/>
      <c r="I48" s="36"/>
      <c r="J48" s="35"/>
    </row>
    <row r="49" spans="1:10" s="593" customFormat="1" ht="11.45" customHeight="1">
      <c r="A49" s="696" t="s">
        <v>748</v>
      </c>
      <c r="B49" s="325">
        <v>5479.62</v>
      </c>
      <c r="C49" s="325">
        <v>14377.264999999999</v>
      </c>
      <c r="D49" s="325">
        <f>83433.6+400</f>
        <v>83833.600000000006</v>
      </c>
      <c r="E49" s="324">
        <f>373+2</f>
        <v>375</v>
      </c>
      <c r="F49" s="627"/>
      <c r="G49" s="35"/>
      <c r="H49" s="271"/>
      <c r="I49" s="36"/>
      <c r="J49" s="35"/>
    </row>
    <row r="50" spans="1:10" s="593" customFormat="1" ht="11.45" customHeight="1">
      <c r="A50" s="699" t="s">
        <v>749</v>
      </c>
      <c r="B50" s="367">
        <v>5990.99</v>
      </c>
      <c r="C50" s="367">
        <v>31010.437000000002</v>
      </c>
      <c r="D50" s="367">
        <f>83949.7+400</f>
        <v>84349.7</v>
      </c>
      <c r="E50" s="366">
        <f>373+2</f>
        <v>375</v>
      </c>
      <c r="F50" s="627"/>
      <c r="G50" s="35"/>
      <c r="H50" s="271"/>
      <c r="I50" s="36"/>
      <c r="J50" s="35"/>
    </row>
    <row r="51" spans="1:10" s="593" customFormat="1" ht="11.45" customHeight="1" thickBot="1">
      <c r="A51" s="1486" t="s">
        <v>740</v>
      </c>
      <c r="B51" s="955">
        <v>6150.48</v>
      </c>
      <c r="C51" s="955">
        <v>43508.978000000003</v>
      </c>
      <c r="D51" s="955">
        <f>84804.7+400</f>
        <v>85204.7</v>
      </c>
      <c r="E51" s="565">
        <f>380+2</f>
        <v>382</v>
      </c>
      <c r="F51" s="627"/>
      <c r="G51" s="35"/>
      <c r="H51" s="271"/>
      <c r="I51" s="36"/>
      <c r="J51" s="35"/>
    </row>
    <row r="52" spans="1:10" s="593" customFormat="1" ht="11.1" customHeight="1">
      <c r="A52" s="306" t="s">
        <v>1821</v>
      </c>
      <c r="B52" s="34"/>
      <c r="C52" s="34"/>
      <c r="D52" s="34"/>
      <c r="E52" s="34"/>
      <c r="F52" s="627"/>
      <c r="G52" s="35"/>
      <c r="H52" s="271"/>
      <c r="I52" s="36"/>
      <c r="J52" s="35"/>
    </row>
    <row r="53" spans="1:10" s="593" customFormat="1" ht="11.1" customHeight="1">
      <c r="A53" s="128" t="s">
        <v>1820</v>
      </c>
      <c r="B53" s="34"/>
      <c r="C53" s="36"/>
      <c r="D53" s="281" t="s">
        <v>2112</v>
      </c>
      <c r="E53" s="281"/>
      <c r="F53" s="627"/>
      <c r="G53" s="35"/>
      <c r="H53" s="271"/>
      <c r="I53" s="36"/>
      <c r="J53" s="35"/>
    </row>
    <row r="54" spans="1:10" s="593" customFormat="1" ht="11.1" customHeight="1">
      <c r="F54" s="627"/>
      <c r="G54" s="35"/>
      <c r="H54" s="271"/>
      <c r="I54" s="36"/>
      <c r="J54" s="35"/>
    </row>
    <row r="55" spans="1:10" s="593" customFormat="1" ht="11.1" customHeight="1">
      <c r="E55" s="1383"/>
      <c r="F55" s="627"/>
      <c r="G55" s="35"/>
      <c r="H55" s="271"/>
      <c r="I55" s="36"/>
      <c r="J55" s="35"/>
    </row>
    <row r="56" spans="1:10" s="593" customFormat="1" ht="11.1" customHeight="1">
      <c r="D56" s="1384"/>
      <c r="E56" s="1385"/>
      <c r="F56" s="627"/>
      <c r="G56" s="35"/>
      <c r="H56" s="271"/>
      <c r="I56" s="36"/>
      <c r="J56" s="35"/>
    </row>
    <row r="57" spans="1:10" s="593" customFormat="1" ht="11.1" customHeight="1">
      <c r="F57" s="627"/>
      <c r="G57" s="35"/>
      <c r="H57" s="271"/>
      <c r="I57" s="36"/>
      <c r="J57" s="35"/>
    </row>
    <row r="58" spans="1:10" s="593" customFormat="1" ht="11.1" customHeight="1">
      <c r="F58" s="627"/>
      <c r="G58" s="35"/>
      <c r="H58" s="271"/>
      <c r="I58" s="36"/>
      <c r="J58" s="35"/>
    </row>
    <row r="59" spans="1:10" s="593" customFormat="1" ht="11.1" customHeight="1">
      <c r="F59" s="627"/>
      <c r="G59" s="35"/>
      <c r="H59" s="271"/>
      <c r="I59" s="36"/>
      <c r="J59" s="35"/>
    </row>
    <row r="60" spans="1:10" s="593" customFormat="1" ht="11.1" customHeight="1">
      <c r="F60" s="627"/>
      <c r="G60" s="35"/>
      <c r="H60" s="271"/>
      <c r="I60" s="36"/>
      <c r="J60" s="35"/>
    </row>
    <row r="61" spans="1:10" s="593" customFormat="1" ht="11.1" customHeight="1">
      <c r="F61" s="627"/>
      <c r="G61" s="35"/>
      <c r="H61" s="271"/>
      <c r="I61" s="36"/>
      <c r="J61" s="35"/>
    </row>
    <row r="62" spans="1:10" s="593" customFormat="1" ht="11.1" customHeight="1">
      <c r="F62" s="627"/>
      <c r="G62" s="35"/>
      <c r="H62" s="271"/>
      <c r="I62" s="36"/>
      <c r="J62" s="35"/>
    </row>
    <row r="63" spans="1:10" s="593" customFormat="1" ht="11.1" customHeight="1">
      <c r="F63" s="627"/>
      <c r="G63" s="35"/>
      <c r="H63" s="271"/>
      <c r="I63" s="36"/>
      <c r="J63" s="35"/>
    </row>
    <row r="64" spans="1:10" s="593" customFormat="1" ht="11.25" customHeight="1">
      <c r="F64" s="627"/>
      <c r="G64" s="35"/>
      <c r="H64" s="271"/>
      <c r="I64" s="36"/>
      <c r="J64" s="35"/>
    </row>
    <row r="65" spans="6:10" s="89" customFormat="1" ht="9.9499999999999993" customHeight="1">
      <c r="F65" s="627"/>
      <c r="G65" s="35"/>
      <c r="H65" s="271"/>
      <c r="I65" s="36"/>
      <c r="J65" s="35"/>
    </row>
    <row r="66" spans="6:10" s="89" customFormat="1" ht="10.5" customHeight="1">
      <c r="F66" s="627"/>
      <c r="G66" s="35"/>
      <c r="H66" s="271"/>
      <c r="I66" s="36"/>
      <c r="J66" s="35"/>
    </row>
    <row r="67" spans="6:10" s="89" customFormat="1" ht="15.75" customHeight="1">
      <c r="F67" s="627"/>
      <c r="G67" s="415"/>
      <c r="H67" s="415"/>
      <c r="I67" s="36"/>
      <c r="J67" s="35"/>
    </row>
    <row r="68" spans="6:10" s="89" customFormat="1" ht="13.5" customHeight="1">
      <c r="F68" s="627"/>
      <c r="G68" s="415"/>
      <c r="H68" s="415"/>
      <c r="I68" s="36"/>
      <c r="J68" s="35"/>
    </row>
    <row r="69" spans="6:10" s="89" customFormat="1" ht="9" customHeight="1">
      <c r="F69" s="627"/>
      <c r="G69" s="415"/>
      <c r="H69" s="415"/>
      <c r="I69" s="36"/>
      <c r="J69" s="35"/>
    </row>
    <row r="70" spans="6:10" s="89" customFormat="1" ht="8.85" customHeight="1">
      <c r="F70" s="627"/>
      <c r="G70" s="415"/>
      <c r="H70" s="415"/>
      <c r="I70" s="36"/>
      <c r="J70" s="35"/>
    </row>
    <row r="71" spans="6:10" s="89" customFormat="1" ht="8.85" customHeight="1">
      <c r="F71" s="627"/>
      <c r="G71" s="415"/>
      <c r="H71" s="415"/>
      <c r="I71" s="36"/>
      <c r="J71" s="35"/>
    </row>
    <row r="72" spans="6:10" s="89" customFormat="1" ht="8.85" customHeight="1">
      <c r="F72" s="627"/>
      <c r="G72" s="415"/>
      <c r="H72" s="415"/>
      <c r="I72" s="36"/>
      <c r="J72" s="35"/>
    </row>
    <row r="73" spans="6:10" s="89" customFormat="1" ht="8.85" customHeight="1">
      <c r="F73" s="627"/>
      <c r="G73" s="415"/>
      <c r="H73" s="415"/>
      <c r="I73" s="36"/>
      <c r="J73" s="35"/>
    </row>
    <row r="74" spans="6:10" s="89" customFormat="1" ht="8.85" customHeight="1">
      <c r="F74" s="627"/>
      <c r="G74" s="415"/>
      <c r="H74" s="415"/>
      <c r="I74" s="36"/>
      <c r="J74" s="35"/>
    </row>
    <row r="75" spans="6:10" s="89" customFormat="1" ht="8.85" customHeight="1">
      <c r="F75" s="627"/>
      <c r="G75" s="415"/>
      <c r="H75" s="415"/>
      <c r="I75" s="36"/>
      <c r="J75" s="35"/>
    </row>
    <row r="76" spans="6:10" s="89" customFormat="1" ht="9.9499999999999993" customHeight="1">
      <c r="F76" s="536"/>
      <c r="G76" s="593"/>
      <c r="H76" s="593"/>
      <c r="I76" s="593"/>
      <c r="J76" s="593"/>
    </row>
    <row r="77" spans="6:10" s="89" customFormat="1" ht="9.9499999999999993" customHeight="1">
      <c r="F77" s="536"/>
      <c r="G77" s="593"/>
      <c r="H77" s="593"/>
      <c r="I77" s="593"/>
      <c r="J77" s="593"/>
    </row>
    <row r="78" spans="6:10" s="89" customFormat="1" ht="9.9499999999999993" customHeight="1">
      <c r="F78" s="536"/>
      <c r="G78" s="593"/>
      <c r="H78" s="593"/>
      <c r="I78" s="593"/>
      <c r="J78" s="593"/>
    </row>
    <row r="79" spans="6:10" s="89" customFormat="1" ht="11.1" customHeight="1">
      <c r="F79" s="536"/>
      <c r="G79" s="593"/>
      <c r="H79" s="593"/>
      <c r="I79" s="593"/>
      <c r="J79" s="593"/>
    </row>
    <row r="80" spans="6:10" s="89" customFormat="1" ht="11.1" customHeight="1">
      <c r="F80" s="536"/>
      <c r="G80" s="593"/>
      <c r="H80" s="593"/>
      <c r="I80" s="593"/>
      <c r="J80" s="593"/>
    </row>
    <row r="81" spans="1:10" s="89" customFormat="1" ht="11.1" customHeight="1">
      <c r="F81" s="536"/>
      <c r="G81" s="593"/>
      <c r="H81" s="593"/>
      <c r="I81" s="593"/>
      <c r="J81" s="593"/>
    </row>
    <row r="82" spans="1:10" s="89" customFormat="1" ht="11.1" customHeight="1">
      <c r="A82" s="593"/>
      <c r="B82" s="593"/>
      <c r="C82" s="593"/>
      <c r="D82" s="593"/>
      <c r="E82" s="593"/>
      <c r="F82" s="536"/>
      <c r="G82" s="593"/>
      <c r="H82" s="593"/>
      <c r="I82" s="593"/>
      <c r="J82" s="593"/>
    </row>
    <row r="83" spans="1:10" s="593" customFormat="1" ht="11.1" customHeight="1">
      <c r="A83" s="2"/>
      <c r="B83" s="2"/>
      <c r="C83" s="2"/>
      <c r="D83" s="2"/>
      <c r="E83" s="2"/>
      <c r="F83" s="536"/>
    </row>
    <row r="84" spans="1:10" ht="11.1" customHeight="1">
      <c r="B84" s="2"/>
      <c r="C84" s="2"/>
      <c r="D84" s="2"/>
      <c r="E84" s="2"/>
      <c r="F84" s="536"/>
      <c r="G84" s="593"/>
      <c r="H84" s="593"/>
      <c r="I84" s="593"/>
      <c r="J84" s="593"/>
    </row>
    <row r="85" spans="1:10" ht="11.1" customHeight="1">
      <c r="A85" s="122"/>
      <c r="B85" s="123"/>
      <c r="C85" s="123"/>
      <c r="D85" s="127"/>
      <c r="E85" s="65"/>
      <c r="F85" s="536"/>
      <c r="G85" s="593"/>
      <c r="H85" s="593"/>
      <c r="I85" s="593"/>
      <c r="J85" s="593"/>
    </row>
    <row r="86" spans="1:10">
      <c r="A86" s="125"/>
      <c r="B86" s="126"/>
      <c r="C86" s="126"/>
      <c r="D86" s="127"/>
      <c r="E86" s="102"/>
      <c r="F86" s="536"/>
      <c r="G86" s="593"/>
      <c r="H86" s="593"/>
      <c r="I86" s="593"/>
      <c r="J86" s="593"/>
    </row>
    <row r="87" spans="1:10">
      <c r="A87" s="125"/>
      <c r="B87" s="126"/>
      <c r="C87" s="126"/>
      <c r="D87" s="127"/>
      <c r="E87" s="102"/>
      <c r="F87" s="536"/>
      <c r="G87" s="593"/>
      <c r="H87" s="593"/>
      <c r="I87" s="593"/>
      <c r="J87" s="593"/>
    </row>
    <row r="88" spans="1:10">
      <c r="A88" s="125"/>
      <c r="B88" s="126"/>
      <c r="C88" s="126"/>
      <c r="D88" s="127"/>
      <c r="E88" s="102"/>
      <c r="F88" s="536"/>
      <c r="G88" s="593"/>
      <c r="H88" s="593"/>
      <c r="I88" s="593"/>
      <c r="J88" s="593"/>
    </row>
    <row r="89" spans="1:10">
      <c r="A89" s="125"/>
      <c r="B89" s="126"/>
      <c r="C89" s="126"/>
      <c r="D89" s="127"/>
      <c r="E89" s="102"/>
      <c r="G89" s="593"/>
      <c r="H89" s="593"/>
      <c r="I89" s="593"/>
      <c r="J89" s="593"/>
    </row>
    <row r="90" spans="1:10">
      <c r="A90" s="125"/>
      <c r="B90" s="126"/>
      <c r="C90" s="126"/>
      <c r="D90" s="127"/>
      <c r="E90" s="102"/>
      <c r="G90" s="593"/>
      <c r="H90" s="593"/>
      <c r="I90" s="593"/>
      <c r="J90" s="593"/>
    </row>
    <row r="91" spans="1:10">
      <c r="A91" s="125"/>
      <c r="B91" s="126"/>
      <c r="C91" s="126"/>
      <c r="D91" s="127"/>
      <c r="E91" s="102"/>
      <c r="G91" s="593"/>
      <c r="H91" s="593"/>
      <c r="I91" s="593"/>
      <c r="J91" s="593"/>
    </row>
    <row r="92" spans="1:10">
      <c r="A92" s="125"/>
      <c r="B92" s="126"/>
      <c r="C92" s="126"/>
      <c r="D92" s="127"/>
      <c r="E92" s="102"/>
      <c r="G92" s="593"/>
      <c r="H92" s="593"/>
      <c r="I92" s="593"/>
      <c r="J92" s="593"/>
    </row>
    <row r="93" spans="1:10">
      <c r="A93" s="125"/>
      <c r="B93" s="126"/>
      <c r="C93" s="126"/>
      <c r="D93" s="127"/>
      <c r="E93" s="102"/>
      <c r="G93" s="593"/>
      <c r="H93" s="593"/>
      <c r="I93" s="593"/>
      <c r="J93" s="593"/>
    </row>
    <row r="94" spans="1:10">
      <c r="A94" s="125"/>
      <c r="B94" s="126"/>
      <c r="C94" s="126"/>
      <c r="D94" s="127"/>
      <c r="E94" s="102"/>
      <c r="G94" s="593"/>
      <c r="H94" s="593"/>
      <c r="I94" s="593"/>
      <c r="J94" s="593"/>
    </row>
    <row r="95" spans="1:10">
      <c r="A95" s="125"/>
      <c r="B95" s="126"/>
      <c r="C95" s="126"/>
      <c r="D95" s="127"/>
      <c r="E95" s="102"/>
      <c r="G95" s="593"/>
      <c r="H95" s="593"/>
      <c r="I95" s="593"/>
      <c r="J95" s="593"/>
    </row>
    <row r="96" spans="1:10">
      <c r="A96" s="125"/>
      <c r="B96" s="126"/>
      <c r="C96" s="126"/>
      <c r="D96" s="127"/>
      <c r="E96" s="102"/>
      <c r="G96" s="593"/>
      <c r="H96" s="593"/>
      <c r="I96" s="593"/>
      <c r="J96" s="593"/>
    </row>
    <row r="97" spans="1:10">
      <c r="G97" s="593"/>
      <c r="H97" s="593"/>
      <c r="I97" s="593"/>
      <c r="J97" s="593"/>
    </row>
    <row r="98" spans="1:10">
      <c r="G98" s="593"/>
      <c r="H98" s="593"/>
      <c r="I98" s="593"/>
      <c r="J98" s="593"/>
    </row>
    <row r="99" spans="1:10">
      <c r="G99" s="593"/>
      <c r="H99" s="593"/>
      <c r="I99" s="593"/>
      <c r="J99" s="593"/>
    </row>
    <row r="100" spans="1:10">
      <c r="G100" s="593"/>
      <c r="H100" s="593"/>
      <c r="I100" s="593"/>
      <c r="J100" s="593"/>
    </row>
    <row r="101" spans="1:10">
      <c r="A101" s="125"/>
      <c r="B101" s="123"/>
      <c r="C101" s="126"/>
      <c r="D101" s="127"/>
      <c r="E101" s="102"/>
      <c r="G101" s="593"/>
      <c r="H101" s="593"/>
      <c r="I101" s="593"/>
      <c r="J101" s="593"/>
    </row>
    <row r="102" spans="1:10">
      <c r="A102" s="125"/>
      <c r="B102" s="123"/>
      <c r="C102" s="126"/>
      <c r="D102" s="127"/>
      <c r="E102" s="102"/>
      <c r="G102" s="593"/>
      <c r="H102" s="593"/>
      <c r="I102" s="593"/>
      <c r="J102" s="593"/>
    </row>
    <row r="103" spans="1:10">
      <c r="A103" s="125"/>
      <c r="B103" s="126"/>
      <c r="C103" s="123"/>
      <c r="D103" s="127"/>
      <c r="E103" s="102"/>
      <c r="G103" s="593"/>
      <c r="H103" s="593"/>
      <c r="I103" s="593"/>
      <c r="J103" s="593"/>
    </row>
    <row r="104" spans="1:10">
      <c r="A104" s="125"/>
      <c r="B104" s="126"/>
      <c r="C104" s="126"/>
      <c r="D104" s="127"/>
      <c r="E104" s="102"/>
      <c r="G104" s="593"/>
      <c r="H104" s="593"/>
      <c r="I104" s="593"/>
      <c r="J104" s="593"/>
    </row>
    <row r="105" spans="1:10">
      <c r="A105" s="125"/>
      <c r="B105" s="123"/>
      <c r="C105" s="126"/>
      <c r="D105" s="127"/>
      <c r="E105" s="102"/>
    </row>
    <row r="106" spans="1:10">
      <c r="A106" s="125"/>
      <c r="B106" s="102"/>
      <c r="C106" s="126"/>
      <c r="D106" s="127"/>
      <c r="E106" s="102"/>
    </row>
    <row r="107" spans="1:10">
      <c r="A107" s="125"/>
      <c r="B107" s="65"/>
      <c r="C107" s="123"/>
      <c r="D107" s="127"/>
      <c r="E107" s="102"/>
    </row>
    <row r="109" spans="1:10">
      <c r="A109" s="125"/>
      <c r="B109" s="127"/>
      <c r="C109" s="127"/>
      <c r="D109" s="127"/>
      <c r="E109" s="102"/>
    </row>
    <row r="110" spans="1:10">
      <c r="A110" s="125"/>
      <c r="B110" s="127"/>
      <c r="C110" s="127"/>
      <c r="D110" s="127"/>
      <c r="E110" s="102"/>
    </row>
    <row r="112" spans="1:10">
      <c r="A112" s="125"/>
      <c r="B112" s="2"/>
      <c r="C112" s="2"/>
      <c r="D112" s="127"/>
      <c r="E112" s="102"/>
    </row>
    <row r="113" spans="1:5">
      <c r="A113" s="125"/>
      <c r="B113" s="102"/>
      <c r="C113" s="102"/>
      <c r="D113" s="127"/>
      <c r="E113" s="102"/>
    </row>
    <row r="115" spans="1:5">
      <c r="A115" s="125"/>
      <c r="B115" s="102"/>
      <c r="C115" s="102"/>
      <c r="D115" s="127"/>
      <c r="E115" s="102"/>
    </row>
    <row r="116" spans="1:5">
      <c r="A116" s="125"/>
      <c r="B116" s="102"/>
      <c r="C116" s="102"/>
      <c r="D116" s="127"/>
      <c r="E116" s="102"/>
    </row>
    <row r="118" spans="1:5">
      <c r="A118" s="125"/>
      <c r="B118" s="102"/>
      <c r="C118" s="126"/>
      <c r="D118" s="127"/>
      <c r="E118" s="102"/>
    </row>
    <row r="119" spans="1:5">
      <c r="A119" s="125"/>
      <c r="B119" s="123"/>
      <c r="C119" s="65"/>
      <c r="D119" s="127"/>
      <c r="E119" s="102"/>
    </row>
    <row r="120" spans="1:5">
      <c r="A120" s="8"/>
      <c r="B120" s="34"/>
      <c r="C120" s="34"/>
      <c r="D120" s="34"/>
      <c r="E120" s="34"/>
    </row>
    <row r="121" spans="1:5">
      <c r="A121" s="8"/>
      <c r="B121" s="34"/>
      <c r="C121" s="34"/>
      <c r="D121" s="34"/>
      <c r="E121" s="34"/>
    </row>
    <row r="122" spans="1:5">
      <c r="C122" s="34"/>
      <c r="D122" s="34"/>
      <c r="E122" s="34"/>
    </row>
    <row r="123" spans="1:5">
      <c r="A123" s="8"/>
      <c r="B123" s="34"/>
      <c r="C123" s="34"/>
      <c r="D123" s="34"/>
      <c r="E123" s="34"/>
    </row>
    <row r="124" spans="1:5">
      <c r="A124" s="8"/>
      <c r="B124" s="34"/>
      <c r="C124" s="34"/>
      <c r="D124" s="34"/>
      <c r="E124" s="34"/>
    </row>
    <row r="125" spans="1:5">
      <c r="A125" s="8"/>
      <c r="B125" s="34"/>
      <c r="C125" s="34"/>
      <c r="D125" s="34"/>
      <c r="E125" s="34"/>
    </row>
  </sheetData>
  <mergeCells count="2">
    <mergeCell ref="A1:E1"/>
    <mergeCell ref="F1:I1"/>
  </mergeCells>
  <phoneticPr fontId="43" type="noConversion"/>
  <pageMargins left="0.629" right="0.89300000000000002" top="0.511811023622047" bottom="0.511811023622047" header="0" footer="0.51300000000000001"/>
  <pageSetup paperSize="448" firstPageNumber="52" orientation="portrait" useFirstPageNumber="1" r:id="rId1"/>
  <headerFooter>
    <oddFooter>&amp;C&amp;"Times New Roman,Regular"&amp;8&amp;P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4"/>
  <dimension ref="A1:R69"/>
  <sheetViews>
    <sheetView zoomScale="160" zoomScaleNormal="160" workbookViewId="0">
      <pane xSplit="1" ySplit="4" topLeftCell="B47" activePane="bottomRight" state="frozen"/>
      <selection activeCell="F85" sqref="F85"/>
      <selection pane="topRight" activeCell="F85" sqref="F85"/>
      <selection pane="bottomLeft" activeCell="F85" sqref="F85"/>
      <selection pane="bottomRight" activeCell="J61" sqref="J61"/>
    </sheetView>
  </sheetViews>
  <sheetFormatPr defaultColWidth="9.140625" defaultRowHeight="11.25"/>
  <cols>
    <col min="1" max="1" width="8.28515625" style="19" customWidth="1"/>
    <col min="2" max="2" width="8.28515625" style="8" customWidth="1"/>
    <col min="3" max="3" width="9.28515625" style="8" customWidth="1"/>
    <col min="4" max="4" width="7.140625" style="8" customWidth="1"/>
    <col min="5" max="5" width="9.7109375" style="8" customWidth="1"/>
    <col min="6" max="6" width="8.5703125" style="8" customWidth="1"/>
    <col min="7" max="7" width="8.140625" style="8" customWidth="1"/>
    <col min="8" max="8" width="7.85546875" style="8" customWidth="1"/>
    <col min="9" max="9" width="8.42578125" style="8" customWidth="1"/>
    <col min="10" max="10" width="9.5703125" style="8" customWidth="1"/>
    <col min="11" max="11" width="7.140625" style="8" customWidth="1"/>
    <col min="12" max="14" width="7.7109375" style="8" customWidth="1"/>
    <col min="15" max="15" width="9.7109375" style="8" customWidth="1"/>
    <col min="16" max="16" width="7.7109375" style="8" customWidth="1"/>
    <col min="17" max="17" width="10.42578125" style="8" customWidth="1"/>
    <col min="18" max="18" width="9" style="8" customWidth="1"/>
    <col min="19" max="16384" width="9.140625" style="8"/>
  </cols>
  <sheetData>
    <row r="1" spans="1:18" s="129" customFormat="1" ht="12.75" customHeight="1">
      <c r="A1" s="2105" t="s">
        <v>836</v>
      </c>
      <c r="B1" s="2105"/>
      <c r="C1" s="2105"/>
      <c r="D1" s="2105"/>
      <c r="E1" s="2105"/>
      <c r="F1" s="2105"/>
      <c r="G1" s="2105"/>
      <c r="H1" s="2105"/>
      <c r="I1" s="2105"/>
      <c r="J1" s="2104" t="s">
        <v>1776</v>
      </c>
      <c r="K1" s="2104"/>
      <c r="L1" s="2104"/>
      <c r="M1" s="2104"/>
      <c r="N1" s="2104"/>
      <c r="O1" s="2104"/>
      <c r="P1" s="2104"/>
      <c r="Q1" s="2106" t="s">
        <v>1450</v>
      </c>
      <c r="R1" s="2106"/>
    </row>
    <row r="2" spans="1:18" s="25" customFormat="1" ht="10.5" customHeight="1">
      <c r="B2" s="1342"/>
      <c r="C2" s="1342"/>
      <c r="D2" s="1342"/>
      <c r="E2" s="1342"/>
      <c r="F2" s="1342"/>
      <c r="G2" s="1342"/>
      <c r="J2" s="1342"/>
      <c r="K2" s="1342"/>
      <c r="L2" s="1342"/>
      <c r="M2" s="1342"/>
      <c r="N2" s="1342"/>
      <c r="O2" s="1342"/>
      <c r="P2" s="1342"/>
      <c r="Q2" s="2110" t="s">
        <v>53</v>
      </c>
      <c r="R2" s="2110"/>
    </row>
    <row r="3" spans="1:18" s="131" customFormat="1" ht="12.75" customHeight="1">
      <c r="A3" s="2111" t="s">
        <v>657</v>
      </c>
      <c r="B3" s="2107" t="s">
        <v>1610</v>
      </c>
      <c r="C3" s="2108"/>
      <c r="D3" s="2108"/>
      <c r="E3" s="2108"/>
      <c r="F3" s="2108"/>
      <c r="G3" s="2108"/>
      <c r="H3" s="2108"/>
      <c r="I3" s="2108"/>
      <c r="J3" s="2108"/>
      <c r="K3" s="2108"/>
      <c r="L3" s="2108"/>
      <c r="M3" s="2108"/>
      <c r="N3" s="2108"/>
      <c r="O3" s="2108"/>
      <c r="P3" s="2108"/>
      <c r="Q3" s="2109"/>
      <c r="R3" s="2111" t="s">
        <v>1220</v>
      </c>
    </row>
    <row r="4" spans="1:18" s="91" customFormat="1" ht="39.75" customHeight="1">
      <c r="A4" s="2111"/>
      <c r="B4" s="1400" t="s">
        <v>658</v>
      </c>
      <c r="C4" s="1400" t="s">
        <v>262</v>
      </c>
      <c r="D4" s="1400" t="s">
        <v>263</v>
      </c>
      <c r="E4" s="1400" t="s">
        <v>88</v>
      </c>
      <c r="F4" s="1400" t="s">
        <v>1662</v>
      </c>
      <c r="G4" s="1400" t="s">
        <v>1661</v>
      </c>
      <c r="H4" s="1400" t="s">
        <v>89</v>
      </c>
      <c r="I4" s="1400" t="s">
        <v>687</v>
      </c>
      <c r="J4" s="1400" t="s">
        <v>1660</v>
      </c>
      <c r="K4" s="1400" t="s">
        <v>1663</v>
      </c>
      <c r="L4" s="1400" t="s">
        <v>1664</v>
      </c>
      <c r="M4" s="1400" t="s">
        <v>91</v>
      </c>
      <c r="N4" s="1400" t="s">
        <v>688</v>
      </c>
      <c r="O4" s="1400" t="s">
        <v>270</v>
      </c>
      <c r="P4" s="1400" t="s">
        <v>410</v>
      </c>
      <c r="Q4" s="1400" t="s">
        <v>92</v>
      </c>
      <c r="R4" s="2111"/>
    </row>
    <row r="5" spans="1:18" s="121" customFormat="1" ht="11.45" customHeight="1">
      <c r="A5" s="538" t="s">
        <v>83</v>
      </c>
      <c r="B5" s="367">
        <v>64408.3</v>
      </c>
      <c r="C5" s="539">
        <v>28352.9</v>
      </c>
      <c r="D5" s="367">
        <v>2723.1</v>
      </c>
      <c r="E5" s="367">
        <v>9507.7999999999993</v>
      </c>
      <c r="F5" s="367">
        <v>4335.1000000000004</v>
      </c>
      <c r="G5" s="367">
        <v>30142.7</v>
      </c>
      <c r="H5" s="367">
        <v>61.1</v>
      </c>
      <c r="I5" s="367">
        <v>6098</v>
      </c>
      <c r="J5" s="367">
        <v>16282.4</v>
      </c>
      <c r="K5" s="367">
        <v>85.9</v>
      </c>
      <c r="L5" s="367">
        <v>2684.7</v>
      </c>
      <c r="M5" s="367">
        <v>5476.9</v>
      </c>
      <c r="N5" s="367">
        <v>10591.1</v>
      </c>
      <c r="O5" s="367">
        <v>31826.6</v>
      </c>
      <c r="P5" s="367">
        <v>15064.2</v>
      </c>
      <c r="Q5" s="367">
        <v>227640.80000000005</v>
      </c>
      <c r="R5" s="540" t="s">
        <v>83</v>
      </c>
    </row>
    <row r="6" spans="1:18" s="318" customFormat="1" ht="11.45" customHeight="1">
      <c r="A6" s="732" t="s">
        <v>225</v>
      </c>
      <c r="B6" s="325">
        <v>68061.899999999994</v>
      </c>
      <c r="C6" s="733">
        <v>28715.5</v>
      </c>
      <c r="D6" s="325">
        <v>3595.5</v>
      </c>
      <c r="E6" s="325">
        <v>12054.8</v>
      </c>
      <c r="F6" s="325">
        <v>5342</v>
      </c>
      <c r="G6" s="325">
        <v>28931.4</v>
      </c>
      <c r="H6" s="325">
        <v>79</v>
      </c>
      <c r="I6" s="325">
        <v>8229.2000000000007</v>
      </c>
      <c r="J6" s="325">
        <v>18080.8</v>
      </c>
      <c r="K6" s="325">
        <v>90.6</v>
      </c>
      <c r="L6" s="325">
        <v>1871.8</v>
      </c>
      <c r="M6" s="325">
        <v>7703</v>
      </c>
      <c r="N6" s="325">
        <v>14010.4</v>
      </c>
      <c r="O6" s="325">
        <v>22131.4</v>
      </c>
      <c r="P6" s="325">
        <v>13804.3</v>
      </c>
      <c r="Q6" s="325">
        <v>232701.59999999998</v>
      </c>
      <c r="R6" s="734" t="s">
        <v>225</v>
      </c>
    </row>
    <row r="7" spans="1:18" s="121" customFormat="1" ht="11.45" customHeight="1">
      <c r="A7" s="538" t="s">
        <v>972</v>
      </c>
      <c r="B7" s="367">
        <v>51238.6</v>
      </c>
      <c r="C7" s="539">
        <v>18987.8</v>
      </c>
      <c r="D7" s="367">
        <v>3588.1</v>
      </c>
      <c r="E7" s="367">
        <v>8631.4</v>
      </c>
      <c r="F7" s="367">
        <v>5117.6000000000004</v>
      </c>
      <c r="G7" s="367">
        <v>24813</v>
      </c>
      <c r="H7" s="367">
        <v>49.8</v>
      </c>
      <c r="I7" s="367">
        <v>4585</v>
      </c>
      <c r="J7" s="367">
        <v>16465.8</v>
      </c>
      <c r="K7" s="367">
        <v>48.8</v>
      </c>
      <c r="L7" s="367">
        <v>1187.3</v>
      </c>
      <c r="M7" s="367">
        <v>8386.2999999999993</v>
      </c>
      <c r="N7" s="367">
        <v>10716.9</v>
      </c>
      <c r="O7" s="367">
        <v>28924.3</v>
      </c>
      <c r="P7" s="367">
        <v>10503.380000000001</v>
      </c>
      <c r="Q7" s="367">
        <v>193244.07999999996</v>
      </c>
      <c r="R7" s="540" t="s">
        <v>972</v>
      </c>
    </row>
    <row r="8" spans="1:18" s="318" customFormat="1" ht="11.45" customHeight="1">
      <c r="A8" s="732" t="s">
        <v>1107</v>
      </c>
      <c r="B8" s="325">
        <v>41710.1</v>
      </c>
      <c r="C8" s="733">
        <v>16994.599999999999</v>
      </c>
      <c r="D8" s="325">
        <v>4130.8</v>
      </c>
      <c r="E8" s="325">
        <v>9567</v>
      </c>
      <c r="F8" s="325">
        <v>8581.6</v>
      </c>
      <c r="G8" s="325">
        <v>29036.7</v>
      </c>
      <c r="H8" s="325">
        <v>49.5</v>
      </c>
      <c r="I8" s="325">
        <v>6418.5</v>
      </c>
      <c r="J8" s="325">
        <v>19754.099999999999</v>
      </c>
      <c r="K8" s="325">
        <v>32.9</v>
      </c>
      <c r="L8" s="325">
        <v>954.1</v>
      </c>
      <c r="M8" s="325">
        <v>9156.1</v>
      </c>
      <c r="N8" s="325">
        <v>10675.2</v>
      </c>
      <c r="O8" s="325">
        <v>27168.2</v>
      </c>
      <c r="P8" s="325">
        <v>13513.613000000001</v>
      </c>
      <c r="Q8" s="325">
        <v>197743.01300000004</v>
      </c>
      <c r="R8" s="734" t="s">
        <v>1107</v>
      </c>
    </row>
    <row r="9" spans="1:18" s="211" customFormat="1" ht="11.45" customHeight="1">
      <c r="A9" s="881" t="s">
        <v>1347</v>
      </c>
      <c r="B9" s="372">
        <v>39281.1</v>
      </c>
      <c r="C9" s="372">
        <v>15318.1</v>
      </c>
      <c r="D9" s="372">
        <v>3431.1</v>
      </c>
      <c r="E9" s="372">
        <v>9860.7000000000007</v>
      </c>
      <c r="F9" s="372">
        <v>18418.5</v>
      </c>
      <c r="G9" s="372">
        <v>29365.5</v>
      </c>
      <c r="H9" s="372">
        <v>66.900000000000006</v>
      </c>
      <c r="I9" s="372">
        <v>8245.7999999999993</v>
      </c>
      <c r="J9" s="372">
        <v>30676.799999999999</v>
      </c>
      <c r="K9" s="372">
        <v>50.9</v>
      </c>
      <c r="L9" s="372">
        <v>1002.3</v>
      </c>
      <c r="M9" s="372">
        <v>15672.4</v>
      </c>
      <c r="N9" s="372">
        <v>9972.4</v>
      </c>
      <c r="O9" s="372">
        <v>43364.9</v>
      </c>
      <c r="P9" s="372">
        <v>13898.900999999998</v>
      </c>
      <c r="Q9" s="372">
        <v>238626.30099999998</v>
      </c>
      <c r="R9" s="882" t="s">
        <v>1347</v>
      </c>
    </row>
    <row r="10" spans="1:18" s="211" customFormat="1" ht="11.45" customHeight="1">
      <c r="A10" s="682" t="s">
        <v>1406</v>
      </c>
      <c r="B10" s="325">
        <v>36607.300000000003</v>
      </c>
      <c r="C10" s="325">
        <v>15119.2</v>
      </c>
      <c r="D10" s="325">
        <v>2884.8</v>
      </c>
      <c r="E10" s="325">
        <v>13566.4</v>
      </c>
      <c r="F10" s="325">
        <v>23673.8</v>
      </c>
      <c r="G10" s="325">
        <v>38616.1</v>
      </c>
      <c r="H10" s="325">
        <v>71.099999999999994</v>
      </c>
      <c r="I10" s="325">
        <v>9181.1</v>
      </c>
      <c r="J10" s="325">
        <v>38646.1</v>
      </c>
      <c r="K10" s="325">
        <v>256.60000000000002</v>
      </c>
      <c r="L10" s="325">
        <v>2095.3000000000002</v>
      </c>
      <c r="M10" s="325">
        <v>19413.8</v>
      </c>
      <c r="N10" s="325">
        <v>7528.3</v>
      </c>
      <c r="O10" s="325">
        <v>46505.8</v>
      </c>
      <c r="P10" s="325">
        <v>16021.86</v>
      </c>
      <c r="Q10" s="325">
        <v>270187.56</v>
      </c>
      <c r="R10" s="670" t="s">
        <v>1406</v>
      </c>
    </row>
    <row r="11" spans="1:18" s="561" customFormat="1" ht="11.45" customHeight="1">
      <c r="A11" s="693" t="s">
        <v>1560</v>
      </c>
      <c r="B11" s="367">
        <v>39555.603000000003</v>
      </c>
      <c r="C11" s="367">
        <v>14567.243</v>
      </c>
      <c r="D11" s="367">
        <v>3028.4430000000002</v>
      </c>
      <c r="E11" s="367">
        <v>15529.823</v>
      </c>
      <c r="F11" s="367">
        <v>24410.638999999999</v>
      </c>
      <c r="G11" s="367">
        <v>35133.678</v>
      </c>
      <c r="H11" s="367">
        <v>79.346999999999994</v>
      </c>
      <c r="I11" s="367">
        <v>8184.8909999999996</v>
      </c>
      <c r="J11" s="367">
        <v>43424.767999999996</v>
      </c>
      <c r="K11" s="367">
        <v>150.286</v>
      </c>
      <c r="L11" s="367">
        <v>1834.0039999999999</v>
      </c>
      <c r="M11" s="367">
        <v>14872.710999999999</v>
      </c>
      <c r="N11" s="367">
        <v>7141.9579999999996</v>
      </c>
      <c r="O11" s="367">
        <v>36209.4</v>
      </c>
      <c r="P11" s="367">
        <v>17324.168000000005</v>
      </c>
      <c r="Q11" s="367">
        <v>261446.962</v>
      </c>
      <c r="R11" s="694" t="s">
        <v>1560</v>
      </c>
    </row>
    <row r="12" spans="1:18" s="211" customFormat="1" ht="11.45" customHeight="1">
      <c r="A12" s="682" t="s">
        <v>1596</v>
      </c>
      <c r="B12" s="325">
        <v>56058.838000000003</v>
      </c>
      <c r="C12" s="325">
        <v>23379.762999999999</v>
      </c>
      <c r="D12" s="325">
        <v>4250.0659999999998</v>
      </c>
      <c r="E12" s="325">
        <v>19062.416000000001</v>
      </c>
      <c r="F12" s="325">
        <v>24719.441999999999</v>
      </c>
      <c r="G12" s="325">
        <v>40486.985999999997</v>
      </c>
      <c r="H12" s="325">
        <v>154.69</v>
      </c>
      <c r="I12" s="325">
        <v>12634.067999999999</v>
      </c>
      <c r="J12" s="325">
        <v>50185.283000000003</v>
      </c>
      <c r="K12" s="325">
        <v>192.57</v>
      </c>
      <c r="L12" s="325">
        <v>2533.12</v>
      </c>
      <c r="M12" s="325">
        <v>13144.56</v>
      </c>
      <c r="N12" s="325">
        <v>8648.9599999999991</v>
      </c>
      <c r="O12" s="325">
        <v>48484.847999999998</v>
      </c>
      <c r="P12" s="325">
        <v>20005.729999999996</v>
      </c>
      <c r="Q12" s="325">
        <v>323941.33999999997</v>
      </c>
      <c r="R12" s="670" t="s">
        <v>1596</v>
      </c>
    </row>
    <row r="13" spans="1:18" s="211" customFormat="1" ht="11.45" customHeight="1">
      <c r="A13" s="683" t="s">
        <v>1756</v>
      </c>
      <c r="B13" s="417">
        <v>56693.462</v>
      </c>
      <c r="C13" s="417">
        <v>21015.174999999999</v>
      </c>
      <c r="D13" s="417">
        <v>4080.9349999999999</v>
      </c>
      <c r="E13" s="417">
        <v>19059.028999999999</v>
      </c>
      <c r="F13" s="417">
        <v>27614.215</v>
      </c>
      <c r="G13" s="417">
        <v>39752.845000000001</v>
      </c>
      <c r="H13" s="417">
        <v>194.55099999999999</v>
      </c>
      <c r="I13" s="417">
        <v>11658.181</v>
      </c>
      <c r="J13" s="417">
        <v>52211.76</v>
      </c>
      <c r="K13" s="417">
        <v>215.678</v>
      </c>
      <c r="L13" s="417">
        <v>1912.181</v>
      </c>
      <c r="M13" s="417">
        <v>11754.666999999999</v>
      </c>
      <c r="N13" s="417">
        <v>8559.2569999999996</v>
      </c>
      <c r="O13" s="417">
        <v>54210.046000000002</v>
      </c>
      <c r="P13" s="417">
        <v>17379.812999999998</v>
      </c>
      <c r="Q13" s="417">
        <v>326311.7950000001</v>
      </c>
      <c r="R13" s="684" t="s">
        <v>1756</v>
      </c>
    </row>
    <row r="14" spans="1:18" s="211" customFormat="1" ht="11.45" customHeight="1">
      <c r="A14" s="776" t="s">
        <v>1904</v>
      </c>
      <c r="B14" s="427">
        <f>B26</f>
        <v>59295.131999999998</v>
      </c>
      <c r="C14" s="427">
        <f t="shared" ref="C14:Q14" si="0">C26</f>
        <v>18180.312000000002</v>
      </c>
      <c r="D14" s="427">
        <f t="shared" si="0"/>
        <v>3559.5810000000001</v>
      </c>
      <c r="E14" s="427">
        <f t="shared" si="0"/>
        <v>20264.021000000001</v>
      </c>
      <c r="F14" s="427">
        <f t="shared" si="0"/>
        <v>31438.42</v>
      </c>
      <c r="G14" s="427">
        <f t="shared" si="0"/>
        <v>48004.101000000002</v>
      </c>
      <c r="H14" s="427">
        <f t="shared" si="0"/>
        <v>399.38499999999999</v>
      </c>
      <c r="I14" s="427">
        <f t="shared" si="0"/>
        <v>14014.406999999999</v>
      </c>
      <c r="J14" s="427">
        <f t="shared" si="0"/>
        <v>52831.345999999998</v>
      </c>
      <c r="K14" s="427">
        <f t="shared" si="0"/>
        <v>1446.3230000000001</v>
      </c>
      <c r="L14" s="427">
        <f t="shared" si="0"/>
        <v>1783.4949999999999</v>
      </c>
      <c r="M14" s="427">
        <f t="shared" si="0"/>
        <v>9048.1380000000008</v>
      </c>
      <c r="N14" s="427">
        <f t="shared" si="0"/>
        <v>10918.987999999999</v>
      </c>
      <c r="O14" s="427">
        <f t="shared" si="0"/>
        <v>51422.195</v>
      </c>
      <c r="P14" s="427">
        <f t="shared" si="0"/>
        <v>21009.715</v>
      </c>
      <c r="Q14" s="427">
        <f t="shared" si="0"/>
        <v>343615.55900000007</v>
      </c>
      <c r="R14" s="709" t="s">
        <v>1904</v>
      </c>
    </row>
    <row r="15" spans="1:18" s="211" customFormat="1" ht="11.45" customHeight="1">
      <c r="A15" s="693" t="s">
        <v>742</v>
      </c>
      <c r="B15" s="782">
        <v>53392.250999999997</v>
      </c>
      <c r="C15" s="782">
        <v>19614.664000000001</v>
      </c>
      <c r="D15" s="782">
        <v>3956.8539999999998</v>
      </c>
      <c r="E15" s="782">
        <v>20589.111000000001</v>
      </c>
      <c r="F15" s="782">
        <v>25829.75</v>
      </c>
      <c r="G15" s="782">
        <v>43107.095999999998</v>
      </c>
      <c r="H15" s="782">
        <v>150.63800000000001</v>
      </c>
      <c r="I15" s="782">
        <v>12889.477999999999</v>
      </c>
      <c r="J15" s="782">
        <v>49592.851999999999</v>
      </c>
      <c r="K15" s="782">
        <v>2509.288</v>
      </c>
      <c r="L15" s="782">
        <v>2023.194</v>
      </c>
      <c r="M15" s="782">
        <v>11563.64</v>
      </c>
      <c r="N15" s="782">
        <v>8559.86</v>
      </c>
      <c r="O15" s="782">
        <v>54179.453000000001</v>
      </c>
      <c r="P15" s="782">
        <f>3056.718+2854.463+1807.439+2311.787+10816.378+277.35</f>
        <v>21124.135000000002</v>
      </c>
      <c r="Q15" s="782">
        <f t="shared" ref="Q15:Q39" si="1">SUM(B15:P15)</f>
        <v>329082.26399999997</v>
      </c>
      <c r="R15" s="694" t="s">
        <v>742</v>
      </c>
    </row>
    <row r="16" spans="1:18" s="211" customFormat="1" ht="11.45" customHeight="1">
      <c r="A16" s="682" t="s">
        <v>743</v>
      </c>
      <c r="B16" s="785">
        <v>61993.131000000001</v>
      </c>
      <c r="C16" s="785">
        <v>21545.883000000002</v>
      </c>
      <c r="D16" s="785">
        <v>4004.1060000000002</v>
      </c>
      <c r="E16" s="785">
        <v>20392.899000000001</v>
      </c>
      <c r="F16" s="785">
        <v>25961.773000000001</v>
      </c>
      <c r="G16" s="785">
        <v>44897.800999999999</v>
      </c>
      <c r="H16" s="785">
        <v>164.89</v>
      </c>
      <c r="I16" s="785">
        <v>13296.155000000001</v>
      </c>
      <c r="J16" s="785">
        <v>49859.192999999999</v>
      </c>
      <c r="K16" s="785">
        <v>2306.6750000000002</v>
      </c>
      <c r="L16" s="785">
        <v>2058.2109999999998</v>
      </c>
      <c r="M16" s="785">
        <v>11360.031999999999</v>
      </c>
      <c r="N16" s="785">
        <v>8602.7559999999994</v>
      </c>
      <c r="O16" s="785">
        <v>53683.45</v>
      </c>
      <c r="P16" s="785">
        <f>2844.833+2814.682+1775.567+2294.907+10806.46+279</f>
        <v>20815.449000000001</v>
      </c>
      <c r="Q16" s="785">
        <f t="shared" si="1"/>
        <v>340942.4040000001</v>
      </c>
      <c r="R16" s="670" t="s">
        <v>743</v>
      </c>
    </row>
    <row r="17" spans="1:18" s="211" customFormat="1" ht="11.45" customHeight="1">
      <c r="A17" s="693" t="s">
        <v>737</v>
      </c>
      <c r="B17" s="782">
        <v>56161.610999999997</v>
      </c>
      <c r="C17" s="782">
        <v>19325.010999999999</v>
      </c>
      <c r="D17" s="782">
        <v>3485.058</v>
      </c>
      <c r="E17" s="782">
        <v>20138.661</v>
      </c>
      <c r="F17" s="782">
        <v>26230.337</v>
      </c>
      <c r="G17" s="782">
        <v>45061.057000000001</v>
      </c>
      <c r="H17" s="782">
        <v>153.02000000000001</v>
      </c>
      <c r="I17" s="782">
        <v>12971.733</v>
      </c>
      <c r="J17" s="782">
        <v>48987.517</v>
      </c>
      <c r="K17" s="782">
        <v>2229.605</v>
      </c>
      <c r="L17" s="782">
        <v>1920.8689999999999</v>
      </c>
      <c r="M17" s="782">
        <v>11444.366</v>
      </c>
      <c r="N17" s="782">
        <v>10083.384</v>
      </c>
      <c r="O17" s="782">
        <v>51304.673999999999</v>
      </c>
      <c r="P17" s="782">
        <f>2983.497+2740.358+1609.217+2228.985+10518.742+278.25</f>
        <v>20359.048999999999</v>
      </c>
      <c r="Q17" s="782">
        <f t="shared" si="1"/>
        <v>329855.95200000005</v>
      </c>
      <c r="R17" s="694" t="s">
        <v>737</v>
      </c>
    </row>
    <row r="18" spans="1:18" s="211" customFormat="1" ht="11.45" customHeight="1">
      <c r="A18" s="682" t="s">
        <v>744</v>
      </c>
      <c r="B18" s="785">
        <v>56818.947999999997</v>
      </c>
      <c r="C18" s="785">
        <v>19362.335999999999</v>
      </c>
      <c r="D18" s="785">
        <v>3373.4870000000001</v>
      </c>
      <c r="E18" s="785">
        <v>18019.897000000001</v>
      </c>
      <c r="F18" s="785">
        <v>26112.379000000001</v>
      </c>
      <c r="G18" s="785">
        <v>46446.75</v>
      </c>
      <c r="H18" s="785">
        <v>237.054</v>
      </c>
      <c r="I18" s="785">
        <v>13213.707</v>
      </c>
      <c r="J18" s="785">
        <v>49075.300999999999</v>
      </c>
      <c r="K18" s="785">
        <v>1885.7760000000001</v>
      </c>
      <c r="L18" s="785">
        <v>1763.078</v>
      </c>
      <c r="M18" s="785">
        <v>10322.630999999999</v>
      </c>
      <c r="N18" s="785">
        <v>9358.2469999999994</v>
      </c>
      <c r="O18" s="785">
        <v>52666.303</v>
      </c>
      <c r="P18" s="785">
        <f>2801.381+2626.576+1512.689+2215.736+10129.291+273.15</f>
        <v>19558.823000000004</v>
      </c>
      <c r="Q18" s="785">
        <f t="shared" si="1"/>
        <v>328214.71700000006</v>
      </c>
      <c r="R18" s="670" t="s">
        <v>744</v>
      </c>
    </row>
    <row r="19" spans="1:18" s="211" customFormat="1" ht="11.45" customHeight="1">
      <c r="A19" s="693" t="s">
        <v>745</v>
      </c>
      <c r="B19" s="782">
        <v>56036.211000000003</v>
      </c>
      <c r="C19" s="782">
        <v>18236.455000000002</v>
      </c>
      <c r="D19" s="782">
        <v>3365.16</v>
      </c>
      <c r="E19" s="782">
        <v>17181.404999999999</v>
      </c>
      <c r="F19" s="782">
        <v>26221.502</v>
      </c>
      <c r="G19" s="782">
        <v>42724.303999999996</v>
      </c>
      <c r="H19" s="782">
        <v>359.96699999999998</v>
      </c>
      <c r="I19" s="782">
        <v>13988.671</v>
      </c>
      <c r="J19" s="782">
        <v>48368.353000000003</v>
      </c>
      <c r="K19" s="782">
        <v>1849.9480000000001</v>
      </c>
      <c r="L19" s="782">
        <v>1771.4469999999999</v>
      </c>
      <c r="M19" s="782">
        <v>9594.0380000000005</v>
      </c>
      <c r="N19" s="782">
        <v>9059.5439999999999</v>
      </c>
      <c r="O19" s="782">
        <v>50418.305</v>
      </c>
      <c r="P19" s="782">
        <f>2682.833+2688.327+1707+2167.121+10651.875+273.45</f>
        <v>20170.606</v>
      </c>
      <c r="Q19" s="782">
        <f t="shared" si="1"/>
        <v>319345.91599999997</v>
      </c>
      <c r="R19" s="694" t="s">
        <v>745</v>
      </c>
    </row>
    <row r="20" spans="1:18" s="211" customFormat="1" ht="11.45" customHeight="1">
      <c r="A20" s="682" t="s">
        <v>738</v>
      </c>
      <c r="B20" s="785">
        <v>58310.468000000001</v>
      </c>
      <c r="C20" s="785">
        <v>19152.706999999999</v>
      </c>
      <c r="D20" s="785">
        <v>3445.0720000000001</v>
      </c>
      <c r="E20" s="785">
        <v>19067.687999999998</v>
      </c>
      <c r="F20" s="785">
        <v>27668.464</v>
      </c>
      <c r="G20" s="785">
        <v>43216.315999999999</v>
      </c>
      <c r="H20" s="785">
        <v>473.34399999999999</v>
      </c>
      <c r="I20" s="785">
        <v>14170.918</v>
      </c>
      <c r="J20" s="785">
        <v>50875.101999999999</v>
      </c>
      <c r="K20" s="785">
        <v>1740.8309999999999</v>
      </c>
      <c r="L20" s="785">
        <v>1801.329</v>
      </c>
      <c r="M20" s="785">
        <v>10196.225</v>
      </c>
      <c r="N20" s="785">
        <v>10311.361000000001</v>
      </c>
      <c r="O20" s="785">
        <v>51138.385999999999</v>
      </c>
      <c r="P20" s="785">
        <f>2799.598+2757.1+1707.525+2187.191+10751.004+282.6</f>
        <v>20485.018</v>
      </c>
      <c r="Q20" s="785">
        <f t="shared" si="1"/>
        <v>332053.22899999999</v>
      </c>
      <c r="R20" s="670" t="s">
        <v>738</v>
      </c>
    </row>
    <row r="21" spans="1:18" s="211" customFormat="1" ht="11.45" customHeight="1">
      <c r="A21" s="693" t="s">
        <v>746</v>
      </c>
      <c r="B21" s="782">
        <v>64250.616999999998</v>
      </c>
      <c r="C21" s="782">
        <v>20907.258999999998</v>
      </c>
      <c r="D21" s="782">
        <v>3764.4119999999998</v>
      </c>
      <c r="E21" s="782">
        <v>21063.213</v>
      </c>
      <c r="F21" s="782">
        <v>28530.592000000001</v>
      </c>
      <c r="G21" s="782">
        <v>50869.622000000003</v>
      </c>
      <c r="H21" s="782">
        <v>472.06099999999998</v>
      </c>
      <c r="I21" s="782">
        <v>14914.439</v>
      </c>
      <c r="J21" s="782">
        <v>52440.464</v>
      </c>
      <c r="K21" s="782">
        <v>1698.079</v>
      </c>
      <c r="L21" s="782">
        <v>2010.81</v>
      </c>
      <c r="M21" s="782">
        <v>10530.825000000001</v>
      </c>
      <c r="N21" s="782">
        <v>11888.781999999999</v>
      </c>
      <c r="O21" s="782">
        <v>56105.658000000003</v>
      </c>
      <c r="P21" s="782">
        <f>3163.79+2779.966+1792.29+2188.858+11726.64+279.9</f>
        <v>21931.444</v>
      </c>
      <c r="Q21" s="782">
        <f t="shared" si="1"/>
        <v>361378.277</v>
      </c>
      <c r="R21" s="694" t="s">
        <v>746</v>
      </c>
    </row>
    <row r="22" spans="1:18" s="211" customFormat="1" ht="11.45" customHeight="1">
      <c r="A22" s="682" t="s">
        <v>747</v>
      </c>
      <c r="B22" s="785">
        <v>61639.017</v>
      </c>
      <c r="C22" s="785">
        <v>19752.848999999998</v>
      </c>
      <c r="D22" s="785">
        <v>3578.8910000000001</v>
      </c>
      <c r="E22" s="785">
        <v>20742.202000000001</v>
      </c>
      <c r="F22" s="785">
        <v>29076.822</v>
      </c>
      <c r="G22" s="785">
        <v>51329.31</v>
      </c>
      <c r="H22" s="785">
        <v>452.81700000000001</v>
      </c>
      <c r="I22" s="785">
        <v>14542.608</v>
      </c>
      <c r="J22" s="785">
        <v>53783.497000000003</v>
      </c>
      <c r="K22" s="785">
        <v>1654.6289999999999</v>
      </c>
      <c r="L22" s="785">
        <v>1950.0119999999999</v>
      </c>
      <c r="M22" s="785">
        <v>10083.43</v>
      </c>
      <c r="N22" s="785">
        <v>11393.962</v>
      </c>
      <c r="O22" s="785">
        <v>56006.96</v>
      </c>
      <c r="P22" s="785">
        <f>13220.628+2098.605+2846.594+3468.968+2191.853+281.7</f>
        <v>24108.348000000002</v>
      </c>
      <c r="Q22" s="785">
        <f t="shared" si="1"/>
        <v>360095.35400000005</v>
      </c>
      <c r="R22" s="670" t="s">
        <v>747</v>
      </c>
    </row>
    <row r="23" spans="1:18" s="211" customFormat="1" ht="11.45" customHeight="1">
      <c r="A23" s="693" t="s">
        <v>739</v>
      </c>
      <c r="B23" s="782">
        <v>59659.813000000002</v>
      </c>
      <c r="C23" s="782">
        <v>18994.921999999999</v>
      </c>
      <c r="D23" s="782">
        <v>3487.9059999999999</v>
      </c>
      <c r="E23" s="782">
        <v>19034.505000000001</v>
      </c>
      <c r="F23" s="782">
        <v>34005.775000000001</v>
      </c>
      <c r="G23" s="782">
        <v>50009.034</v>
      </c>
      <c r="H23" s="782">
        <v>441.38299999999998</v>
      </c>
      <c r="I23" s="782">
        <v>13354.243</v>
      </c>
      <c r="J23" s="782">
        <v>53074.152000000002</v>
      </c>
      <c r="K23" s="782">
        <v>1454.5909999999999</v>
      </c>
      <c r="L23" s="782">
        <v>1807.0170000000001</v>
      </c>
      <c r="M23" s="782">
        <v>10085.368</v>
      </c>
      <c r="N23" s="782">
        <v>10311.566999999999</v>
      </c>
      <c r="O23" s="782">
        <v>57841.644</v>
      </c>
      <c r="P23" s="782">
        <f>12782.065+1945.396+2760.494+2968.895+2102.12+290.4</f>
        <v>22849.370000000003</v>
      </c>
      <c r="Q23" s="782">
        <f t="shared" si="1"/>
        <v>356411.28999999992</v>
      </c>
      <c r="R23" s="694" t="s">
        <v>739</v>
      </c>
    </row>
    <row r="24" spans="1:18" s="211" customFormat="1" ht="11.45" customHeight="1">
      <c r="A24" s="682" t="s">
        <v>748</v>
      </c>
      <c r="B24" s="785">
        <v>57445.828999999998</v>
      </c>
      <c r="C24" s="785">
        <v>17186.218000000001</v>
      </c>
      <c r="D24" s="785">
        <v>3468.81</v>
      </c>
      <c r="E24" s="785">
        <v>18428.579000000002</v>
      </c>
      <c r="F24" s="785">
        <v>31199.321</v>
      </c>
      <c r="G24" s="785">
        <v>43311.646999999997</v>
      </c>
      <c r="H24" s="785">
        <v>381.173</v>
      </c>
      <c r="I24" s="785">
        <v>13028.358</v>
      </c>
      <c r="J24" s="785">
        <v>51155.08</v>
      </c>
      <c r="K24" s="785">
        <v>1337.3050000000001</v>
      </c>
      <c r="L24" s="785">
        <v>1731.288</v>
      </c>
      <c r="M24" s="785">
        <v>9008.8080000000009</v>
      </c>
      <c r="N24" s="785">
        <v>9692.2469999999994</v>
      </c>
      <c r="O24" s="785">
        <v>50864.32</v>
      </c>
      <c r="P24" s="785">
        <f>11169.018+1931.105+2524.828+2615.527+1994.288+286.65</f>
        <v>20521.416000000001</v>
      </c>
      <c r="Q24" s="785">
        <f t="shared" si="1"/>
        <v>328760.39900000003</v>
      </c>
      <c r="R24" s="670" t="s">
        <v>748</v>
      </c>
    </row>
    <row r="25" spans="1:18" s="211" customFormat="1" ht="11.45" customHeight="1">
      <c r="A25" s="693" t="s">
        <v>749</v>
      </c>
      <c r="B25" s="782">
        <v>60053.417000000001</v>
      </c>
      <c r="C25" s="782">
        <v>18874.142</v>
      </c>
      <c r="D25" s="782">
        <v>3558.123</v>
      </c>
      <c r="E25" s="782">
        <v>20115.378000000001</v>
      </c>
      <c r="F25" s="782">
        <v>30433.761999999999</v>
      </c>
      <c r="G25" s="782">
        <v>46189.652000000002</v>
      </c>
      <c r="H25" s="782">
        <v>383.27</v>
      </c>
      <c r="I25" s="782">
        <v>13536.111000000001</v>
      </c>
      <c r="J25" s="782">
        <v>50642.36</v>
      </c>
      <c r="K25" s="782">
        <v>1351.9090000000001</v>
      </c>
      <c r="L25" s="782">
        <v>1748.38</v>
      </c>
      <c r="M25" s="782">
        <v>9098.6669999999995</v>
      </c>
      <c r="N25" s="782">
        <v>10952.98</v>
      </c>
      <c r="O25" s="782">
        <v>50259.48</v>
      </c>
      <c r="P25" s="782">
        <f>11171.754+1976.482+2591.768+2667.549+2034.278+274.35</f>
        <v>20716.180999999997</v>
      </c>
      <c r="Q25" s="782">
        <f t="shared" si="1"/>
        <v>337913.81199999998</v>
      </c>
      <c r="R25" s="694" t="s">
        <v>749</v>
      </c>
    </row>
    <row r="26" spans="1:18" s="211" customFormat="1" ht="11.45" customHeight="1">
      <c r="A26" s="682" t="s">
        <v>740</v>
      </c>
      <c r="B26" s="785">
        <v>59295.131999999998</v>
      </c>
      <c r="C26" s="785">
        <v>18180.312000000002</v>
      </c>
      <c r="D26" s="785">
        <v>3559.5810000000001</v>
      </c>
      <c r="E26" s="785">
        <v>20264.021000000001</v>
      </c>
      <c r="F26" s="785">
        <v>31438.42</v>
      </c>
      <c r="G26" s="785">
        <v>48004.101000000002</v>
      </c>
      <c r="H26" s="785">
        <v>399.38499999999999</v>
      </c>
      <c r="I26" s="785">
        <v>14014.406999999999</v>
      </c>
      <c r="J26" s="785">
        <v>52831.345999999998</v>
      </c>
      <c r="K26" s="785">
        <v>1446.3230000000001</v>
      </c>
      <c r="L26" s="785">
        <v>1783.4949999999999</v>
      </c>
      <c r="M26" s="785">
        <v>9048.1380000000008</v>
      </c>
      <c r="N26" s="785">
        <v>10918.987999999999</v>
      </c>
      <c r="O26" s="785">
        <v>51422.195</v>
      </c>
      <c r="P26" s="785">
        <f>11282.475+2053.889+2648.658+2633.429+2104.914+286.35</f>
        <v>21009.715</v>
      </c>
      <c r="Q26" s="785">
        <f t="shared" si="1"/>
        <v>343615.55900000007</v>
      </c>
      <c r="R26" s="670" t="s">
        <v>740</v>
      </c>
    </row>
    <row r="27" spans="1:18" s="211" customFormat="1" ht="11.45" customHeight="1">
      <c r="A27" s="700" t="s">
        <v>2017</v>
      </c>
      <c r="B27" s="417">
        <f>B39</f>
        <v>44910.99</v>
      </c>
      <c r="C27" s="417">
        <f t="shared" ref="C27:Q27" si="2">C39</f>
        <v>12542.67</v>
      </c>
      <c r="D27" s="417">
        <f t="shared" si="2"/>
        <v>2950.95</v>
      </c>
      <c r="E27" s="417">
        <f t="shared" si="2"/>
        <v>13189.19</v>
      </c>
      <c r="F27" s="417">
        <f t="shared" si="2"/>
        <v>20835.34</v>
      </c>
      <c r="G27" s="417">
        <f t="shared" si="2"/>
        <v>36533.269999999997</v>
      </c>
      <c r="H27" s="417">
        <f t="shared" si="2"/>
        <v>179.79</v>
      </c>
      <c r="I27" s="417">
        <f t="shared" si="2"/>
        <v>9589.89</v>
      </c>
      <c r="J27" s="417">
        <f t="shared" si="2"/>
        <v>46746.83</v>
      </c>
      <c r="K27" s="417">
        <f t="shared" si="2"/>
        <v>962.58</v>
      </c>
      <c r="L27" s="417">
        <f t="shared" si="2"/>
        <v>1304.19</v>
      </c>
      <c r="M27" s="417">
        <f t="shared" si="2"/>
        <v>7189.48</v>
      </c>
      <c r="N27" s="417">
        <f t="shared" si="2"/>
        <v>9150.66</v>
      </c>
      <c r="O27" s="417">
        <f t="shared" si="2"/>
        <v>33674.9</v>
      </c>
      <c r="P27" s="417">
        <f t="shared" si="2"/>
        <v>17815.13</v>
      </c>
      <c r="Q27" s="417">
        <f t="shared" si="2"/>
        <v>257575.86</v>
      </c>
      <c r="R27" s="1058" t="s">
        <v>2017</v>
      </c>
    </row>
    <row r="28" spans="1:18" s="211" customFormat="1" ht="11.45" customHeight="1">
      <c r="A28" s="696" t="s">
        <v>742</v>
      </c>
      <c r="B28" s="785">
        <v>57954.406000000003</v>
      </c>
      <c r="C28" s="785">
        <v>16366.315000000001</v>
      </c>
      <c r="D28" s="785">
        <v>3716.0509999999999</v>
      </c>
      <c r="E28" s="785">
        <v>18980.562999999998</v>
      </c>
      <c r="F28" s="785">
        <v>28525.651999999998</v>
      </c>
      <c r="G28" s="785">
        <v>46894.758999999998</v>
      </c>
      <c r="H28" s="785">
        <v>366.66199999999998</v>
      </c>
      <c r="I28" s="785">
        <v>52244.205000000002</v>
      </c>
      <c r="J28" s="785">
        <v>12528.308999999999</v>
      </c>
      <c r="K28" s="785">
        <v>1319.912</v>
      </c>
      <c r="L28" s="785">
        <v>1608.6120000000001</v>
      </c>
      <c r="M28" s="785">
        <v>8436.4750000000004</v>
      </c>
      <c r="N28" s="785">
        <v>11138.656000000001</v>
      </c>
      <c r="O28" s="785">
        <v>46843.05</v>
      </c>
      <c r="P28" s="785">
        <f>11007.562+2001.473+2590.495+2460.205+2290.151+276.15</f>
        <v>20626.036</v>
      </c>
      <c r="Q28" s="785">
        <f t="shared" si="1"/>
        <v>327549.66300000006</v>
      </c>
      <c r="R28" s="1063" t="s">
        <v>742</v>
      </c>
    </row>
    <row r="29" spans="1:18" ht="11.45" customHeight="1">
      <c r="A29" s="699" t="s">
        <v>743</v>
      </c>
      <c r="B29" s="782">
        <v>55846.241000000002</v>
      </c>
      <c r="C29" s="782">
        <v>16120.550999999999</v>
      </c>
      <c r="D29" s="782">
        <v>3303.0639999999999</v>
      </c>
      <c r="E29" s="782">
        <v>19406.866999999998</v>
      </c>
      <c r="F29" s="782">
        <v>27816.36</v>
      </c>
      <c r="G29" s="782">
        <v>48091.012000000002</v>
      </c>
      <c r="H29" s="782">
        <v>394.62</v>
      </c>
      <c r="I29" s="782">
        <v>12373.925999999999</v>
      </c>
      <c r="J29" s="782">
        <v>54346.118999999999</v>
      </c>
      <c r="K29" s="782">
        <v>1303.4839999999999</v>
      </c>
      <c r="L29" s="782">
        <v>1680.6369999999999</v>
      </c>
      <c r="M29" s="782">
        <v>8456.5139999999992</v>
      </c>
      <c r="N29" s="782">
        <v>10871.556</v>
      </c>
      <c r="O29" s="782">
        <v>43964.758999999998</v>
      </c>
      <c r="P29" s="782">
        <f>11589.034+2068.192+2555.609+2665.396+2270.458+279</f>
        <v>21427.688999999998</v>
      </c>
      <c r="Q29" s="782">
        <f t="shared" si="1"/>
        <v>325403.39900000003</v>
      </c>
      <c r="R29" s="1073" t="s">
        <v>743</v>
      </c>
    </row>
    <row r="30" spans="1:18" ht="11.45" customHeight="1">
      <c r="A30" s="696" t="s">
        <v>737</v>
      </c>
      <c r="B30" s="785">
        <v>56161.610999999997</v>
      </c>
      <c r="C30" s="785">
        <v>19325.010999999999</v>
      </c>
      <c r="D30" s="785">
        <v>3485.058</v>
      </c>
      <c r="E30" s="785">
        <v>20138.661</v>
      </c>
      <c r="F30" s="785">
        <v>26230.337</v>
      </c>
      <c r="G30" s="785">
        <v>45061.057000000001</v>
      </c>
      <c r="H30" s="785">
        <v>153.02000000000001</v>
      </c>
      <c r="I30" s="785">
        <v>12971.733</v>
      </c>
      <c r="J30" s="785">
        <v>48987.517</v>
      </c>
      <c r="K30" s="785">
        <v>2229.605</v>
      </c>
      <c r="L30" s="785">
        <v>1920.8689999999999</v>
      </c>
      <c r="M30" s="785">
        <v>11444.366</v>
      </c>
      <c r="N30" s="785">
        <v>10083.384</v>
      </c>
      <c r="O30" s="785">
        <v>51304.673999999999</v>
      </c>
      <c r="P30" s="785">
        <f>10518.742+1609.217+2740.358+2983.497+2228.985+278.25</f>
        <v>20359.049000000003</v>
      </c>
      <c r="Q30" s="785">
        <f t="shared" si="1"/>
        <v>329855.95200000005</v>
      </c>
      <c r="R30" s="1063" t="s">
        <v>737</v>
      </c>
    </row>
    <row r="31" spans="1:18" ht="11.45" customHeight="1">
      <c r="A31" s="699" t="s">
        <v>744</v>
      </c>
      <c r="B31" s="782">
        <v>54351.23</v>
      </c>
      <c r="C31" s="782">
        <v>14123.157999999999</v>
      </c>
      <c r="D31" s="782">
        <v>3116.11</v>
      </c>
      <c r="E31" s="782">
        <v>16054.925999999999</v>
      </c>
      <c r="F31" s="782">
        <v>25709.89</v>
      </c>
      <c r="G31" s="782">
        <v>40669.103999999999</v>
      </c>
      <c r="H31" s="782">
        <v>288.98</v>
      </c>
      <c r="I31" s="782">
        <v>10098.128000000001</v>
      </c>
      <c r="J31" s="782">
        <v>51483.891000000003</v>
      </c>
      <c r="K31" s="782">
        <v>968.95899999999995</v>
      </c>
      <c r="L31" s="782">
        <v>1413.133</v>
      </c>
      <c r="M31" s="782">
        <v>6943.1</v>
      </c>
      <c r="N31" s="782">
        <v>10560.644</v>
      </c>
      <c r="O31" s="782">
        <v>44649.707000000002</v>
      </c>
      <c r="P31" s="782">
        <f>10285.459+1798.883+2159.978+2458.124+1966.722+276.15</f>
        <v>18945.316000000003</v>
      </c>
      <c r="Q31" s="782">
        <f t="shared" si="1"/>
        <v>299376.27600000001</v>
      </c>
      <c r="R31" s="1073" t="s">
        <v>744</v>
      </c>
    </row>
    <row r="32" spans="1:18" ht="11.45" customHeight="1">
      <c r="A32" s="696" t="s">
        <v>745</v>
      </c>
      <c r="B32" s="785">
        <v>54898.35</v>
      </c>
      <c r="C32" s="785">
        <v>14925.069</v>
      </c>
      <c r="D32" s="785">
        <v>3113.1289999999999</v>
      </c>
      <c r="E32" s="785">
        <v>15564.249</v>
      </c>
      <c r="F32" s="785">
        <v>24518.538</v>
      </c>
      <c r="G32" s="785">
        <v>40642.733999999997</v>
      </c>
      <c r="H32" s="785">
        <v>272.26900000000001</v>
      </c>
      <c r="I32" s="785">
        <v>10329.891</v>
      </c>
      <c r="J32" s="785">
        <v>48335.411</v>
      </c>
      <c r="K32" s="785">
        <v>1036.2660000000001</v>
      </c>
      <c r="L32" s="785">
        <v>1411.818</v>
      </c>
      <c r="M32" s="785">
        <v>7541.4189999999999</v>
      </c>
      <c r="N32" s="785">
        <v>11150.946</v>
      </c>
      <c r="O32" s="785">
        <v>44704.650999999998</v>
      </c>
      <c r="P32" s="785">
        <f>10040.845+2227.52+1748.319+1940.285+2440.585+284.55</f>
        <v>18682.103999999999</v>
      </c>
      <c r="Q32" s="785">
        <f t="shared" si="1"/>
        <v>297126.84399999998</v>
      </c>
      <c r="R32" s="1063" t="s">
        <v>745</v>
      </c>
    </row>
    <row r="33" spans="1:18" ht="11.45" customHeight="1">
      <c r="A33" s="699" t="s">
        <v>738</v>
      </c>
      <c r="B33" s="782">
        <v>53955.116000000002</v>
      </c>
      <c r="C33" s="782">
        <v>14469.442999999999</v>
      </c>
      <c r="D33" s="782">
        <v>3072.1950000000002</v>
      </c>
      <c r="E33" s="782">
        <v>14786.324000000001</v>
      </c>
      <c r="F33" s="782">
        <v>22210.944</v>
      </c>
      <c r="G33" s="782">
        <v>38661.762000000002</v>
      </c>
      <c r="H33" s="782">
        <v>251.79599999999999</v>
      </c>
      <c r="I33" s="782">
        <v>10572.665000000001</v>
      </c>
      <c r="J33" s="782">
        <v>47323.413</v>
      </c>
      <c r="K33" s="782">
        <v>1000.539</v>
      </c>
      <c r="L33" s="782">
        <v>1350.835</v>
      </c>
      <c r="M33" s="782">
        <v>6886.1149999999998</v>
      </c>
      <c r="N33" s="782">
        <v>11335.544</v>
      </c>
      <c r="O33" s="782">
        <v>40138.387999999999</v>
      </c>
      <c r="P33" s="782">
        <f>9687.766+2013.895+1975.402+2329.072+2189.298+281.1</f>
        <v>18476.532999999999</v>
      </c>
      <c r="Q33" s="782">
        <f t="shared" si="1"/>
        <v>284491.61199999996</v>
      </c>
      <c r="R33" s="1073" t="s">
        <v>738</v>
      </c>
    </row>
    <row r="34" spans="1:18" ht="11.45" customHeight="1">
      <c r="A34" s="696" t="s">
        <v>746</v>
      </c>
      <c r="B34" s="785">
        <v>51791.936999999998</v>
      </c>
      <c r="C34" s="785">
        <v>14312.009</v>
      </c>
      <c r="D34" s="785">
        <v>3047.5479999999998</v>
      </c>
      <c r="E34" s="785">
        <v>14519.199000000001</v>
      </c>
      <c r="F34" s="785">
        <v>24824.812000000002</v>
      </c>
      <c r="G34" s="785">
        <v>40526.885000000002</v>
      </c>
      <c r="H34" s="785">
        <v>210.358</v>
      </c>
      <c r="I34" s="785">
        <v>10465.553</v>
      </c>
      <c r="J34" s="785">
        <v>48113.271999999997</v>
      </c>
      <c r="K34" s="785">
        <v>1003.248</v>
      </c>
      <c r="L34" s="785">
        <v>1468.049</v>
      </c>
      <c r="M34" s="785">
        <v>8819.4310000000005</v>
      </c>
      <c r="N34" s="785">
        <v>11031.888999999999</v>
      </c>
      <c r="O34" s="785">
        <v>36502.665000000001</v>
      </c>
      <c r="P34" s="785">
        <f>9942.308+2486.249+2232.77+1993.378+2287.899+380.74</f>
        <v>19323.344000000005</v>
      </c>
      <c r="Q34" s="785">
        <f t="shared" si="1"/>
        <v>285960.19900000002</v>
      </c>
      <c r="R34" s="1063" t="s">
        <v>746</v>
      </c>
    </row>
    <row r="35" spans="1:18" ht="11.45" customHeight="1">
      <c r="A35" s="699" t="s">
        <v>747</v>
      </c>
      <c r="B35" s="782">
        <v>48729.271000000001</v>
      </c>
      <c r="C35" s="782">
        <v>14381.894</v>
      </c>
      <c r="D35" s="782">
        <v>3301.261</v>
      </c>
      <c r="E35" s="782">
        <v>15780.379000000001</v>
      </c>
      <c r="F35" s="782">
        <v>23161.206999999999</v>
      </c>
      <c r="G35" s="782">
        <v>41198.186999999998</v>
      </c>
      <c r="H35" s="782">
        <v>194.512</v>
      </c>
      <c r="I35" s="782">
        <v>11654.98</v>
      </c>
      <c r="J35" s="782">
        <v>49257.338000000003</v>
      </c>
      <c r="K35" s="782">
        <v>1137.71</v>
      </c>
      <c r="L35" s="782">
        <v>1619.162</v>
      </c>
      <c r="M35" s="782">
        <v>8665.7860000000001</v>
      </c>
      <c r="N35" s="782">
        <v>10607.581</v>
      </c>
      <c r="O35" s="782">
        <v>38656.762999999999</v>
      </c>
      <c r="P35" s="782">
        <f>10342.845+2528.95+2275.146+2043.92+2193.094+380.5</f>
        <v>19764.454999999998</v>
      </c>
      <c r="Q35" s="782">
        <f t="shared" si="1"/>
        <v>288110.48599999998</v>
      </c>
      <c r="R35" s="1073" t="s">
        <v>747</v>
      </c>
    </row>
    <row r="36" spans="1:18" s="213" customFormat="1" ht="11.45" customHeight="1">
      <c r="A36" s="696" t="s">
        <v>739</v>
      </c>
      <c r="B36" s="785">
        <v>45644.52</v>
      </c>
      <c r="C36" s="785">
        <v>12371.84</v>
      </c>
      <c r="D36" s="785">
        <v>2952.4</v>
      </c>
      <c r="E36" s="785">
        <v>13192.85</v>
      </c>
      <c r="F36" s="785">
        <v>20815.080000000002</v>
      </c>
      <c r="G36" s="785">
        <v>36368.230000000003</v>
      </c>
      <c r="H36" s="785">
        <v>175.03</v>
      </c>
      <c r="I36" s="785">
        <v>9914.58</v>
      </c>
      <c r="J36" s="785">
        <v>45809.24</v>
      </c>
      <c r="K36" s="785">
        <v>962.58</v>
      </c>
      <c r="L36" s="785">
        <v>1305.32</v>
      </c>
      <c r="M36" s="785">
        <v>7360.84</v>
      </c>
      <c r="N36" s="785">
        <v>9099.42</v>
      </c>
      <c r="O36" s="785">
        <v>33557.81</v>
      </c>
      <c r="P36" s="785">
        <f>1959.45+1786.33+2005.9+2502.44+9232.7+383.2</f>
        <v>17870.02</v>
      </c>
      <c r="Q36" s="785">
        <f t="shared" si="1"/>
        <v>257399.75999999998</v>
      </c>
      <c r="R36" s="1063" t="s">
        <v>739</v>
      </c>
    </row>
    <row r="37" spans="1:18" s="213" customFormat="1" ht="11.45" customHeight="1">
      <c r="A37" s="699" t="s">
        <v>748</v>
      </c>
      <c r="B37" s="782">
        <v>45644.52</v>
      </c>
      <c r="C37" s="782">
        <v>12371.84</v>
      </c>
      <c r="D37" s="782">
        <v>2952.4</v>
      </c>
      <c r="E37" s="782">
        <v>13192.85</v>
      </c>
      <c r="F37" s="782">
        <v>20815.080000000002</v>
      </c>
      <c r="G37" s="782">
        <v>36368.230000000003</v>
      </c>
      <c r="H37" s="782">
        <v>175.03</v>
      </c>
      <c r="I37" s="782">
        <v>9914.58</v>
      </c>
      <c r="J37" s="782">
        <v>45809.24</v>
      </c>
      <c r="K37" s="782">
        <v>962.58</v>
      </c>
      <c r="L37" s="782">
        <v>1305.32</v>
      </c>
      <c r="M37" s="782">
        <v>7360.84</v>
      </c>
      <c r="N37" s="782">
        <v>9099.42</v>
      </c>
      <c r="O37" s="782">
        <v>33557.81</v>
      </c>
      <c r="P37" s="782">
        <f>1959.45+1786.33+2005.9+2502.44+9232.7+383.2</f>
        <v>17870.02</v>
      </c>
      <c r="Q37" s="782">
        <f t="shared" si="1"/>
        <v>257399.75999999998</v>
      </c>
      <c r="R37" s="1073" t="s">
        <v>748</v>
      </c>
    </row>
    <row r="38" spans="1:18" s="213" customFormat="1" ht="11.45" customHeight="1">
      <c r="A38" s="696" t="s">
        <v>749</v>
      </c>
      <c r="B38" s="785">
        <v>44557.02</v>
      </c>
      <c r="C38" s="785">
        <v>12337.56</v>
      </c>
      <c r="D38" s="785">
        <v>2968.05</v>
      </c>
      <c r="E38" s="785">
        <v>13171.21</v>
      </c>
      <c r="F38" s="785">
        <v>20814.37</v>
      </c>
      <c r="G38" s="785">
        <v>36547.129999999997</v>
      </c>
      <c r="H38" s="785">
        <v>175.03</v>
      </c>
      <c r="I38" s="785">
        <v>9587.4500000000007</v>
      </c>
      <c r="J38" s="785">
        <v>48333.09</v>
      </c>
      <c r="K38" s="785">
        <v>962.58</v>
      </c>
      <c r="L38" s="785">
        <v>1304.19</v>
      </c>
      <c r="M38" s="785">
        <v>7217.83</v>
      </c>
      <c r="N38" s="785">
        <v>9235.33</v>
      </c>
      <c r="O38" s="785">
        <v>35847.040000000001</v>
      </c>
      <c r="P38" s="785">
        <f>1959.45+1785.26+1984.35+383.2+2499.49+9343.32</f>
        <v>17955.07</v>
      </c>
      <c r="Q38" s="785">
        <f t="shared" si="1"/>
        <v>261012.94999999998</v>
      </c>
      <c r="R38" s="1063" t="s">
        <v>749</v>
      </c>
    </row>
    <row r="39" spans="1:18" s="213" customFormat="1" ht="11.45" customHeight="1">
      <c r="A39" s="699" t="s">
        <v>740</v>
      </c>
      <c r="B39" s="782">
        <v>44910.99</v>
      </c>
      <c r="C39" s="782">
        <v>12542.67</v>
      </c>
      <c r="D39" s="782">
        <v>2950.95</v>
      </c>
      <c r="E39" s="782">
        <v>13189.19</v>
      </c>
      <c r="F39" s="782">
        <v>20835.34</v>
      </c>
      <c r="G39" s="782">
        <v>36533.269999999997</v>
      </c>
      <c r="H39" s="782">
        <v>179.79</v>
      </c>
      <c r="I39" s="782">
        <v>9589.89</v>
      </c>
      <c r="J39" s="782">
        <v>46746.83</v>
      </c>
      <c r="K39" s="782">
        <v>962.58</v>
      </c>
      <c r="L39" s="782">
        <v>1304.19</v>
      </c>
      <c r="M39" s="782">
        <v>7189.48</v>
      </c>
      <c r="N39" s="782">
        <v>9150.66</v>
      </c>
      <c r="O39" s="782">
        <v>33674.9</v>
      </c>
      <c r="P39" s="782">
        <f>1976.08+1784.92+1951.36+2487.72+9226.18+388.87</f>
        <v>17815.13</v>
      </c>
      <c r="Q39" s="782">
        <f t="shared" si="1"/>
        <v>257575.86</v>
      </c>
      <c r="R39" s="1073" t="s">
        <v>740</v>
      </c>
    </row>
    <row r="40" spans="1:18" s="213" customFormat="1" ht="11.45" customHeight="1">
      <c r="A40" s="701" t="s">
        <v>2114</v>
      </c>
      <c r="B40" s="427">
        <f>B52</f>
        <v>67962.134999999995</v>
      </c>
      <c r="C40" s="427">
        <f t="shared" ref="C40:Q40" si="3">C52</f>
        <v>21199.138999999999</v>
      </c>
      <c r="D40" s="427">
        <f t="shared" si="3"/>
        <v>4620.3789999999999</v>
      </c>
      <c r="E40" s="427">
        <f t="shared" si="3"/>
        <v>60387.34</v>
      </c>
      <c r="F40" s="427">
        <f t="shared" si="3"/>
        <v>38572.572</v>
      </c>
      <c r="G40" s="427">
        <f t="shared" si="3"/>
        <v>46586.7</v>
      </c>
      <c r="H40" s="427">
        <f t="shared" si="3"/>
        <v>198.36600000000001</v>
      </c>
      <c r="I40" s="427">
        <f t="shared" si="3"/>
        <v>14741.874</v>
      </c>
      <c r="J40" s="427">
        <f t="shared" si="3"/>
        <v>63825.078000000001</v>
      </c>
      <c r="K40" s="427">
        <f t="shared" si="3"/>
        <v>1509.154</v>
      </c>
      <c r="L40" s="427">
        <f t="shared" si="3"/>
        <v>2085.1729999999998</v>
      </c>
      <c r="M40" s="427">
        <f t="shared" si="3"/>
        <v>11936.501</v>
      </c>
      <c r="N40" s="427">
        <f t="shared" si="3"/>
        <v>22274.534</v>
      </c>
      <c r="O40" s="427">
        <f t="shared" si="3"/>
        <v>73061.112999999998</v>
      </c>
      <c r="P40" s="427">
        <f t="shared" si="3"/>
        <v>29821.007999999998</v>
      </c>
      <c r="Q40" s="427">
        <f t="shared" si="3"/>
        <v>458781.06599999999</v>
      </c>
      <c r="R40" s="1220" t="s">
        <v>2114</v>
      </c>
    </row>
    <row r="41" spans="1:18" s="213" customFormat="1" ht="11.45" customHeight="1">
      <c r="A41" s="699" t="s">
        <v>742</v>
      </c>
      <c r="B41" s="782">
        <v>45904.79</v>
      </c>
      <c r="C41" s="782">
        <v>13001.08</v>
      </c>
      <c r="D41" s="782">
        <v>2968.67</v>
      </c>
      <c r="E41" s="782">
        <v>13507.92</v>
      </c>
      <c r="F41" s="782">
        <v>21350.39</v>
      </c>
      <c r="G41" s="782">
        <v>38179.449999999997</v>
      </c>
      <c r="H41" s="782">
        <v>177.93</v>
      </c>
      <c r="I41" s="782">
        <v>10134.17</v>
      </c>
      <c r="J41" s="782">
        <v>49737.84</v>
      </c>
      <c r="K41" s="782">
        <v>1492.77</v>
      </c>
      <c r="L41" s="782">
        <v>1396.14</v>
      </c>
      <c r="M41" s="782">
        <v>7281.56</v>
      </c>
      <c r="N41" s="782">
        <v>11627.56</v>
      </c>
      <c r="O41" s="782">
        <v>36621.919999999998</v>
      </c>
      <c r="P41" s="782">
        <f>1984.51+1784.92+2175.39+2487.72+9455.36+383.36</f>
        <v>18271.260000000002</v>
      </c>
      <c r="Q41" s="782">
        <f t="shared" ref="Q41:Q52" si="4">SUM(B41:P41)</f>
        <v>271653.45</v>
      </c>
      <c r="R41" s="1073" t="s">
        <v>742</v>
      </c>
    </row>
    <row r="42" spans="1:18" s="213" customFormat="1" ht="11.45" customHeight="1">
      <c r="A42" s="696" t="s">
        <v>743</v>
      </c>
      <c r="B42" s="785">
        <v>53716.41</v>
      </c>
      <c r="C42" s="785">
        <v>16673.169999999998</v>
      </c>
      <c r="D42" s="785">
        <v>3463.75</v>
      </c>
      <c r="E42" s="785">
        <v>15327.55</v>
      </c>
      <c r="F42" s="785">
        <v>24897.19</v>
      </c>
      <c r="G42" s="785">
        <v>43733.47</v>
      </c>
      <c r="H42" s="785">
        <v>225.05</v>
      </c>
      <c r="I42" s="785">
        <v>11055.38</v>
      </c>
      <c r="J42" s="785">
        <v>57826.61</v>
      </c>
      <c r="K42" s="785">
        <v>1547.38</v>
      </c>
      <c r="L42" s="785">
        <v>1499.73</v>
      </c>
      <c r="M42" s="785">
        <v>8505.49</v>
      </c>
      <c r="N42" s="785">
        <v>12000.98</v>
      </c>
      <c r="O42" s="785">
        <v>45114.239999999998</v>
      </c>
      <c r="P42" s="785">
        <f>2233.18+1886.85+2340.5+2498.94+11558.28+388.5</f>
        <v>20906.25</v>
      </c>
      <c r="Q42" s="785">
        <f t="shared" si="4"/>
        <v>316492.65000000002</v>
      </c>
      <c r="R42" s="1063" t="s">
        <v>743</v>
      </c>
    </row>
    <row r="43" spans="1:18" s="213" customFormat="1" ht="11.45" customHeight="1">
      <c r="A43" s="699" t="s">
        <v>737</v>
      </c>
      <c r="B43" s="782">
        <v>55240.76</v>
      </c>
      <c r="C43" s="782">
        <v>18106.400000000001</v>
      </c>
      <c r="D43" s="782">
        <v>4023.11</v>
      </c>
      <c r="E43" s="782">
        <v>38529.72</v>
      </c>
      <c r="F43" s="782">
        <v>25494.99</v>
      </c>
      <c r="G43" s="782">
        <v>44693.77</v>
      </c>
      <c r="H43" s="782">
        <v>227.73</v>
      </c>
      <c r="I43" s="782">
        <v>11782.03</v>
      </c>
      <c r="J43" s="782">
        <v>56445.760000000002</v>
      </c>
      <c r="K43" s="782">
        <v>1529.61</v>
      </c>
      <c r="L43" s="782">
        <v>1610.15</v>
      </c>
      <c r="M43" s="782">
        <v>7961.13</v>
      </c>
      <c r="N43" s="782">
        <v>13965.04</v>
      </c>
      <c r="O43" s="782">
        <v>46706.97</v>
      </c>
      <c r="P43" s="782">
        <f>10930.03+389.4+2555.15+2407.65+1830.53+2281.12</f>
        <v>20393.879999999997</v>
      </c>
      <c r="Q43" s="782">
        <f t="shared" si="4"/>
        <v>346711.04999999993</v>
      </c>
      <c r="R43" s="1073" t="s">
        <v>737</v>
      </c>
    </row>
    <row r="44" spans="1:18" s="213" customFormat="1" ht="11.45" customHeight="1">
      <c r="A44" s="696" t="s">
        <v>744</v>
      </c>
      <c r="B44" s="785">
        <v>54473.438999999998</v>
      </c>
      <c r="C44" s="785">
        <v>17226.268</v>
      </c>
      <c r="D44" s="785">
        <v>4189.473</v>
      </c>
      <c r="E44" s="785">
        <v>35423.275000000001</v>
      </c>
      <c r="F44" s="785">
        <v>24840.187999999998</v>
      </c>
      <c r="G44" s="785">
        <v>44449.675999999999</v>
      </c>
      <c r="H44" s="785">
        <v>197.828</v>
      </c>
      <c r="I44" s="785">
        <v>10834.465</v>
      </c>
      <c r="J44" s="785">
        <v>55428.574999999997</v>
      </c>
      <c r="K44" s="785">
        <v>1428.9880000000001</v>
      </c>
      <c r="L44" s="785">
        <v>1454.0940000000001</v>
      </c>
      <c r="M44" s="785">
        <v>7662.2780000000002</v>
      </c>
      <c r="N44" s="785">
        <v>14611.948</v>
      </c>
      <c r="O44" s="785">
        <v>46719.231</v>
      </c>
      <c r="P44" s="324">
        <f>2146.15+1789.35+2309.8+2558.89+10381.96+400.4</f>
        <v>19586.550000000003</v>
      </c>
      <c r="Q44" s="325">
        <f t="shared" si="4"/>
        <v>338526.27600000001</v>
      </c>
      <c r="R44" s="1063" t="s">
        <v>744</v>
      </c>
    </row>
    <row r="45" spans="1:18" s="213" customFormat="1" ht="11.45" customHeight="1">
      <c r="A45" s="699" t="s">
        <v>745</v>
      </c>
      <c r="B45" s="782">
        <v>55803.46</v>
      </c>
      <c r="C45" s="782">
        <v>15782.22</v>
      </c>
      <c r="D45" s="782">
        <v>4308.1499999999996</v>
      </c>
      <c r="E45" s="782">
        <v>35530.58</v>
      </c>
      <c r="F45" s="782">
        <v>26547.55</v>
      </c>
      <c r="G45" s="782">
        <v>42298.7</v>
      </c>
      <c r="H45" s="782">
        <v>200.54</v>
      </c>
      <c r="I45" s="782">
        <v>10299.450000000001</v>
      </c>
      <c r="J45" s="782">
        <v>51305.46</v>
      </c>
      <c r="K45" s="782">
        <v>1430.31</v>
      </c>
      <c r="L45" s="782">
        <v>1582.59</v>
      </c>
      <c r="M45" s="782">
        <v>7302.97</v>
      </c>
      <c r="N45" s="782">
        <v>16010.19</v>
      </c>
      <c r="O45" s="782">
        <v>45279.67</v>
      </c>
      <c r="P45" s="366">
        <f>2226.38+1784.92+2419.39+2535.16+10626.05+402.73</f>
        <v>19994.63</v>
      </c>
      <c r="Q45" s="367">
        <f t="shared" si="4"/>
        <v>333676.46999999997</v>
      </c>
      <c r="R45" s="1073" t="s">
        <v>745</v>
      </c>
    </row>
    <row r="46" spans="1:18" s="213" customFormat="1" ht="11.45" customHeight="1">
      <c r="A46" s="696" t="s">
        <v>738</v>
      </c>
      <c r="B46" s="785">
        <v>57287.49</v>
      </c>
      <c r="C46" s="785">
        <v>19027.817999999999</v>
      </c>
      <c r="D46" s="785">
        <v>4192.0720000000001</v>
      </c>
      <c r="E46" s="785">
        <v>50166.298000000003</v>
      </c>
      <c r="F46" s="785">
        <v>30554.183000000001</v>
      </c>
      <c r="G46" s="785">
        <v>43090.321000000004</v>
      </c>
      <c r="H46" s="785">
        <v>285.98700000000002</v>
      </c>
      <c r="I46" s="785">
        <v>11180.782999999999</v>
      </c>
      <c r="J46" s="785">
        <v>60857.302000000003</v>
      </c>
      <c r="K46" s="785">
        <v>1555.653</v>
      </c>
      <c r="L46" s="785">
        <v>1878.347</v>
      </c>
      <c r="M46" s="785">
        <v>8890.8529999999992</v>
      </c>
      <c r="N46" s="785">
        <v>15995.231</v>
      </c>
      <c r="O46" s="785">
        <v>65217.036</v>
      </c>
      <c r="P46" s="324">
        <f>2435.75+1923.77+2598.01+2571.3+14162.15+407.37</f>
        <v>24098.350000000002</v>
      </c>
      <c r="Q46" s="325">
        <f t="shared" si="4"/>
        <v>394277.72399999999</v>
      </c>
      <c r="R46" s="1063" t="s">
        <v>738</v>
      </c>
    </row>
    <row r="47" spans="1:18" s="213" customFormat="1" ht="11.45" customHeight="1">
      <c r="A47" s="699" t="s">
        <v>746</v>
      </c>
      <c r="B47" s="782">
        <v>59008.93</v>
      </c>
      <c r="C47" s="782">
        <v>20445.07</v>
      </c>
      <c r="D47" s="782">
        <v>4165.97</v>
      </c>
      <c r="E47" s="782">
        <v>48685.98</v>
      </c>
      <c r="F47" s="782">
        <v>37344.93</v>
      </c>
      <c r="G47" s="782">
        <v>46688.800000000003</v>
      </c>
      <c r="H47" s="782">
        <v>213.91</v>
      </c>
      <c r="I47" s="782">
        <v>10961.75</v>
      </c>
      <c r="J47" s="782">
        <v>61997.66</v>
      </c>
      <c r="K47" s="782">
        <v>1510.91</v>
      </c>
      <c r="L47" s="782">
        <v>1889.4</v>
      </c>
      <c r="M47" s="782">
        <v>9340.0499999999993</v>
      </c>
      <c r="N47" s="782">
        <v>14564.26</v>
      </c>
      <c r="O47" s="782">
        <v>80481.02</v>
      </c>
      <c r="P47" s="366">
        <f>2404.82+1849.12+2326.5+2421.62+17223.63+403.65</f>
        <v>26629.340000000004</v>
      </c>
      <c r="Q47" s="367">
        <f t="shared" si="4"/>
        <v>423927.98000000004</v>
      </c>
      <c r="R47" s="1073" t="s">
        <v>746</v>
      </c>
    </row>
    <row r="48" spans="1:18" s="213" customFormat="1" ht="11.45" customHeight="1">
      <c r="A48" s="696" t="s">
        <v>747</v>
      </c>
      <c r="B48" s="785">
        <v>55392.421000000002</v>
      </c>
      <c r="C48" s="785">
        <v>18844.329000000002</v>
      </c>
      <c r="D48" s="785">
        <v>3865.0410000000002</v>
      </c>
      <c r="E48" s="785">
        <v>53865.669000000002</v>
      </c>
      <c r="F48" s="785">
        <v>37164.383999999998</v>
      </c>
      <c r="G48" s="785">
        <v>45192.144999999997</v>
      </c>
      <c r="H48" s="785">
        <v>211.41800000000001</v>
      </c>
      <c r="I48" s="785">
        <v>10683.844999999999</v>
      </c>
      <c r="J48" s="785">
        <v>60719.197</v>
      </c>
      <c r="K48" s="785">
        <v>1474.412</v>
      </c>
      <c r="L48" s="785">
        <v>1813.0920000000001</v>
      </c>
      <c r="M48" s="785">
        <v>9466.2209999999995</v>
      </c>
      <c r="N48" s="785">
        <v>14190.592000000001</v>
      </c>
      <c r="O48" s="785">
        <v>71313.664999999994</v>
      </c>
      <c r="P48" s="325">
        <v>26031.355</v>
      </c>
      <c r="Q48" s="325">
        <v>410227.78599999996</v>
      </c>
      <c r="R48" s="1063" t="s">
        <v>747</v>
      </c>
    </row>
    <row r="49" spans="1:18" s="213" customFormat="1" ht="11.45" customHeight="1">
      <c r="A49" s="699" t="s">
        <v>739</v>
      </c>
      <c r="B49" s="782">
        <v>56275.055999999997</v>
      </c>
      <c r="C49" s="782">
        <v>16798.968000000001</v>
      </c>
      <c r="D49" s="782">
        <v>3631.607</v>
      </c>
      <c r="E49" s="782">
        <v>52344.114999999998</v>
      </c>
      <c r="F49" s="782">
        <v>37504.813000000002</v>
      </c>
      <c r="G49" s="782">
        <v>44256.908000000003</v>
      </c>
      <c r="H49" s="782">
        <v>210.91</v>
      </c>
      <c r="I49" s="782">
        <v>10369.204</v>
      </c>
      <c r="J49" s="782">
        <v>59121.771999999997</v>
      </c>
      <c r="K49" s="782">
        <v>1474.412</v>
      </c>
      <c r="L49" s="782">
        <v>1704.866</v>
      </c>
      <c r="M49" s="782">
        <v>9080.9060000000009</v>
      </c>
      <c r="N49" s="782">
        <v>13744.383</v>
      </c>
      <c r="O49" s="782">
        <v>70255.956000000006</v>
      </c>
      <c r="P49" s="367">
        <f>2229.326+1810.576+2427.182+2393.143+16896.475+409.42</f>
        <v>26166.121999999996</v>
      </c>
      <c r="Q49" s="367">
        <f t="shared" si="4"/>
        <v>402939.99799999996</v>
      </c>
      <c r="R49" s="1073" t="s">
        <v>739</v>
      </c>
    </row>
    <row r="50" spans="1:18" s="213" customFormat="1" ht="11.45" customHeight="1">
      <c r="A50" s="696" t="s">
        <v>748</v>
      </c>
      <c r="B50" s="785">
        <v>55430.817000000003</v>
      </c>
      <c r="C50" s="785">
        <v>17395.937000000002</v>
      </c>
      <c r="D50" s="785">
        <v>3936.5079999999998</v>
      </c>
      <c r="E50" s="785">
        <v>52846.337</v>
      </c>
      <c r="F50" s="785">
        <v>36995.375999999997</v>
      </c>
      <c r="G50" s="785">
        <v>45578.646000000001</v>
      </c>
      <c r="H50" s="785">
        <v>242.65899999999999</v>
      </c>
      <c r="I50" s="785">
        <v>9516.6939999999995</v>
      </c>
      <c r="J50" s="785">
        <v>61782.07</v>
      </c>
      <c r="K50" s="785">
        <v>1431.671</v>
      </c>
      <c r="L50" s="785">
        <v>1792.346</v>
      </c>
      <c r="M50" s="785">
        <v>11098.737999999999</v>
      </c>
      <c r="N50" s="785">
        <v>16819.809000000001</v>
      </c>
      <c r="O50" s="785">
        <v>72308.048999999999</v>
      </c>
      <c r="P50" s="325">
        <f>2595.196+1847.727+2599.005+2161.138+18166.275+409.85</f>
        <v>27779.190999999999</v>
      </c>
      <c r="Q50" s="325">
        <f t="shared" si="4"/>
        <v>414954.848</v>
      </c>
      <c r="R50" s="1063" t="s">
        <v>748</v>
      </c>
    </row>
    <row r="51" spans="1:18" s="213" customFormat="1" ht="11.45" customHeight="1">
      <c r="A51" s="699" t="s">
        <v>749</v>
      </c>
      <c r="B51" s="782">
        <v>69612.904999999999</v>
      </c>
      <c r="C51" s="782">
        <v>19976.498</v>
      </c>
      <c r="D51" s="782">
        <v>4591.7939999999999</v>
      </c>
      <c r="E51" s="782">
        <v>56795.377</v>
      </c>
      <c r="F51" s="782">
        <v>38592.192000000003</v>
      </c>
      <c r="G51" s="782">
        <v>46988.014999999999</v>
      </c>
      <c r="H51" s="782">
        <v>215.88900000000001</v>
      </c>
      <c r="I51" s="782">
        <v>11289.233</v>
      </c>
      <c r="J51" s="782">
        <v>61400.875999999997</v>
      </c>
      <c r="K51" s="782">
        <v>1443.9369999999999</v>
      </c>
      <c r="L51" s="782">
        <v>2037.3720000000001</v>
      </c>
      <c r="M51" s="782">
        <v>12170.941000000001</v>
      </c>
      <c r="N51" s="782">
        <v>19534.59</v>
      </c>
      <c r="O51" s="782">
        <v>74742.163</v>
      </c>
      <c r="P51" s="367">
        <f>2632.456+1887.974+3123.788+2174.146+18994.25+407.12</f>
        <v>29219.734</v>
      </c>
      <c r="Q51" s="367">
        <f t="shared" si="4"/>
        <v>448611.516</v>
      </c>
      <c r="R51" s="1073" t="s">
        <v>749</v>
      </c>
    </row>
    <row r="52" spans="1:18" s="213" customFormat="1" ht="11.45" customHeight="1" thickBot="1">
      <c r="A52" s="1486" t="s">
        <v>740</v>
      </c>
      <c r="B52" s="1598">
        <v>67962.134999999995</v>
      </c>
      <c r="C52" s="1598">
        <v>21199.138999999999</v>
      </c>
      <c r="D52" s="1598">
        <v>4620.3789999999999</v>
      </c>
      <c r="E52" s="1598">
        <v>60387.34</v>
      </c>
      <c r="F52" s="1598">
        <v>38572.572</v>
      </c>
      <c r="G52" s="1598">
        <v>46586.7</v>
      </c>
      <c r="H52" s="1598">
        <v>198.36600000000001</v>
      </c>
      <c r="I52" s="1598">
        <v>14741.874</v>
      </c>
      <c r="J52" s="1598">
        <v>63825.078000000001</v>
      </c>
      <c r="K52" s="1598">
        <v>1509.154</v>
      </c>
      <c r="L52" s="1598">
        <v>2085.1729999999998</v>
      </c>
      <c r="M52" s="1598">
        <v>11936.501</v>
      </c>
      <c r="N52" s="1598">
        <v>22274.534</v>
      </c>
      <c r="O52" s="1598">
        <v>73061.112999999998</v>
      </c>
      <c r="P52" s="955">
        <f>2666.15+2166.045+3186.152+2010.917+19381.784+409.96</f>
        <v>29821.007999999998</v>
      </c>
      <c r="Q52" s="955">
        <f t="shared" si="4"/>
        <v>458781.06599999999</v>
      </c>
      <c r="R52" s="1599" t="s">
        <v>740</v>
      </c>
    </row>
    <row r="53" spans="1:18" s="213" customFormat="1" ht="11.1" customHeight="1">
      <c r="A53" s="67" t="s">
        <v>1797</v>
      </c>
      <c r="B53" s="868" t="s">
        <v>1751</v>
      </c>
      <c r="C53" s="867"/>
      <c r="D53" s="867"/>
      <c r="E53" s="867"/>
      <c r="F53" s="867"/>
      <c r="G53" s="867"/>
      <c r="H53" s="123"/>
      <c r="I53" s="40"/>
      <c r="J53" s="2112" t="s">
        <v>1752</v>
      </c>
      <c r="K53" s="2112"/>
      <c r="L53" s="2112"/>
      <c r="M53" s="2112"/>
      <c r="N53" s="2112"/>
      <c r="O53" s="2112"/>
      <c r="P53" s="2112"/>
      <c r="Q53" s="2112"/>
      <c r="R53" s="2112"/>
    </row>
    <row r="54" spans="1:18" s="213" customFormat="1" ht="11.1" customHeight="1">
      <c r="A54" s="55"/>
      <c r="B54" s="1816"/>
      <c r="C54" s="1816"/>
      <c r="D54" s="226"/>
      <c r="E54" s="226"/>
      <c r="F54" s="226"/>
      <c r="G54" s="226"/>
      <c r="H54" s="17"/>
      <c r="I54" s="17"/>
      <c r="J54" s="659" t="s">
        <v>16</v>
      </c>
      <c r="K54" s="869" t="s">
        <v>1737</v>
      </c>
      <c r="L54" s="188"/>
      <c r="M54" s="188"/>
      <c r="N54" s="8"/>
      <c r="O54" s="17"/>
      <c r="P54" s="17"/>
      <c r="Q54" s="17"/>
      <c r="R54" s="87"/>
    </row>
    <row r="55" spans="1:18" s="213" customFormat="1" ht="11.1" customHeight="1">
      <c r="A55" s="19"/>
      <c r="B55" s="8"/>
      <c r="C55" s="8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9"/>
    </row>
    <row r="56" spans="1:18" s="213" customFormat="1" ht="11.1" customHeight="1">
      <c r="A56" s="701"/>
      <c r="R56" s="640"/>
    </row>
    <row r="57" spans="1:18" s="213" customFormat="1" ht="11.1" customHeight="1">
      <c r="A57" s="696"/>
      <c r="Q57" s="1057"/>
      <c r="R57" s="640"/>
    </row>
    <row r="58" spans="1:18" s="213" customFormat="1" ht="11.1" customHeight="1">
      <c r="A58" s="5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9"/>
    </row>
    <row r="59" spans="1:18" s="213" customFormat="1" ht="11.1" customHeight="1">
      <c r="A59" s="55"/>
      <c r="B59" s="8"/>
      <c r="C59" s="8"/>
      <c r="D59" s="8"/>
      <c r="E59" s="10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9"/>
    </row>
    <row r="60" spans="1:18" s="213" customFormat="1" ht="11.1" customHeight="1">
      <c r="A60" s="19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9"/>
    </row>
    <row r="61" spans="1:18" s="213" customFormat="1" ht="11.1" customHeight="1">
      <c r="A61" s="19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9"/>
    </row>
    <row r="62" spans="1:18" s="213" customFormat="1" ht="11.1" customHeight="1">
      <c r="A62" s="19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/>
    </row>
    <row r="63" spans="1:18" s="213" customFormat="1" ht="11.1" customHeight="1">
      <c r="A63" s="19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9"/>
    </row>
    <row r="64" spans="1:18" s="213" customFormat="1" ht="11.1" customHeight="1">
      <c r="A64" s="19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9"/>
    </row>
    <row r="65" spans="1:18" ht="9.75" customHeight="1">
      <c r="R65" s="19"/>
    </row>
    <row r="66" spans="1:18" ht="9.75" customHeight="1">
      <c r="R66" s="19"/>
    </row>
    <row r="67" spans="1:18">
      <c r="R67" s="19"/>
    </row>
    <row r="68" spans="1:18" s="213" customFormat="1">
      <c r="A68" s="19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9"/>
    </row>
    <row r="69" spans="1:18" s="213" customFormat="1">
      <c r="A69" s="19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</sheetData>
  <mergeCells count="9">
    <mergeCell ref="B54:C54"/>
    <mergeCell ref="J1:P1"/>
    <mergeCell ref="A1:I1"/>
    <mergeCell ref="Q1:R1"/>
    <mergeCell ref="B3:Q3"/>
    <mergeCell ref="Q2:R2"/>
    <mergeCell ref="R3:R4"/>
    <mergeCell ref="A3:A4"/>
    <mergeCell ref="J53:R53"/>
  </mergeCells>
  <phoneticPr fontId="43" type="noConversion"/>
  <pageMargins left="0.62992125984252001" right="0.55118110236220497" top="0.511811023622047" bottom="0.31496062992126" header="0.25" footer="0"/>
  <pageSetup paperSize="448" firstPageNumber="54" orientation="portrait" useFirstPageNumber="1" r:id="rId1"/>
  <headerFooter>
    <oddFooter>&amp;C&amp;"Times New Roman,Regular"&amp;8&amp;P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5"/>
  <dimension ref="A1:BT210"/>
  <sheetViews>
    <sheetView topLeftCell="BG1" zoomScale="160" zoomScaleNormal="160" zoomScaleSheetLayoutView="120" workbookViewId="0">
      <pane ySplit="4" topLeftCell="A17" activePane="bottomLeft" state="frozen"/>
      <selection pane="bottomLeft" activeCell="BM28" sqref="BM28"/>
    </sheetView>
  </sheetViews>
  <sheetFormatPr defaultColWidth="9.140625" defaultRowHeight="11.25"/>
  <cols>
    <col min="1" max="1" width="4.140625" style="8" customWidth="1"/>
    <col min="2" max="2" width="13.5703125" style="47" customWidth="1"/>
    <col min="3" max="3" width="5.5703125" style="8" customWidth="1"/>
    <col min="4" max="4" width="8.28515625" style="8" customWidth="1"/>
    <col min="5" max="5" width="9" style="8" customWidth="1"/>
    <col min="6" max="6" width="6" style="8" customWidth="1"/>
    <col min="7" max="7" width="8.42578125" style="8" customWidth="1"/>
    <col min="8" max="8" width="7.28515625" style="47" customWidth="1"/>
    <col min="9" max="9" width="13.42578125" style="8" customWidth="1"/>
    <col min="10" max="10" width="4.28515625" style="332" customWidth="1"/>
    <col min="11" max="11" width="12.5703125" style="213" customWidth="1"/>
    <col min="12" max="12" width="4.7109375" style="213" customWidth="1"/>
    <col min="13" max="13" width="9" style="213" customWidth="1"/>
    <col min="14" max="14" width="9.42578125" style="213" customWidth="1"/>
    <col min="15" max="15" width="6" style="333" customWidth="1"/>
    <col min="16" max="16" width="8.5703125" style="213" customWidth="1"/>
    <col min="17" max="17" width="6.85546875" style="213" customWidth="1"/>
    <col min="18" max="18" width="14.7109375" style="332" customWidth="1"/>
    <col min="19" max="19" width="3.85546875" style="213" customWidth="1"/>
    <col min="20" max="20" width="11" style="213" customWidth="1"/>
    <col min="21" max="21" width="4.7109375" style="213" customWidth="1"/>
    <col min="22" max="22" width="8.85546875" style="213" customWidth="1"/>
    <col min="23" max="23" width="9.7109375" style="333" customWidth="1"/>
    <col min="24" max="24" width="5.42578125" style="213" customWidth="1"/>
    <col min="25" max="25" width="10.28515625" style="213" customWidth="1"/>
    <col min="26" max="26" width="7" style="334" customWidth="1"/>
    <col min="27" max="27" width="17.140625" style="213" customWidth="1"/>
    <col min="28" max="28" width="4.28515625" style="213" customWidth="1"/>
    <col min="29" max="29" width="14" style="213" customWidth="1"/>
    <col min="30" max="30" width="4.5703125" style="213" customWidth="1"/>
    <col min="31" max="32" width="9.42578125" style="213" customWidth="1"/>
    <col min="33" max="33" width="6.140625" style="213" customWidth="1"/>
    <col min="34" max="34" width="8.85546875" style="213" customWidth="1"/>
    <col min="35" max="35" width="6" style="213" customWidth="1"/>
    <col min="36" max="36" width="13.7109375" style="213" customWidth="1"/>
    <col min="37" max="37" width="4.28515625" style="334" customWidth="1"/>
    <col min="38" max="38" width="12.7109375" style="213" customWidth="1"/>
    <col min="39" max="39" width="6.140625" style="213" customWidth="1"/>
    <col min="40" max="40" width="9.28515625" style="213" customWidth="1"/>
    <col min="41" max="41" width="10" style="213" customWidth="1"/>
    <col min="42" max="42" width="6.7109375" style="213" customWidth="1"/>
    <col min="43" max="43" width="9.140625" style="213"/>
    <col min="44" max="44" width="5.85546875" style="213" customWidth="1"/>
    <col min="45" max="45" width="15.140625" style="334" customWidth="1"/>
    <col min="46" max="46" width="4.42578125" style="213" customWidth="1"/>
    <col min="47" max="47" width="11.42578125" style="213" customWidth="1"/>
    <col min="48" max="48" width="4.5703125" style="213" customWidth="1"/>
    <col min="49" max="49" width="8.42578125" style="213" customWidth="1"/>
    <col min="50" max="50" width="9.5703125" style="213" customWidth="1"/>
    <col min="51" max="51" width="5.85546875" style="213" customWidth="1"/>
    <col min="52" max="52" width="9.28515625" style="213" customWidth="1"/>
    <col min="53" max="53" width="6" style="213" customWidth="1"/>
    <col min="54" max="54" width="16.140625" style="334" customWidth="1"/>
    <col min="55" max="55" width="4.42578125" style="213" customWidth="1"/>
    <col min="56" max="56" width="13" style="213" customWidth="1"/>
    <col min="57" max="57" width="4.5703125" style="213" customWidth="1"/>
    <col min="58" max="59" width="9.140625" style="213"/>
    <col min="60" max="60" width="5.5703125" style="213" customWidth="1"/>
    <col min="61" max="61" width="9.140625" style="213" customWidth="1"/>
    <col min="62" max="62" width="5.85546875" style="213" customWidth="1"/>
    <col min="63" max="63" width="17.42578125" style="334" customWidth="1"/>
    <col min="64" max="64" width="3.140625" style="213" customWidth="1"/>
    <col min="65" max="65" width="17" style="213" customWidth="1"/>
    <col min="66" max="66" width="6.42578125" style="213" customWidth="1"/>
    <col min="67" max="67" width="8.7109375" style="213" customWidth="1"/>
    <col min="68" max="68" width="10.140625" style="213" customWidth="1"/>
    <col min="69" max="69" width="6.140625" style="213" customWidth="1"/>
    <col min="70" max="70" width="8.42578125" style="8" customWidth="1"/>
    <col min="71" max="71" width="6.5703125" style="8" customWidth="1"/>
    <col min="72" max="72" width="12.7109375" style="8" customWidth="1"/>
    <col min="73" max="16384" width="9.140625" style="8"/>
  </cols>
  <sheetData>
    <row r="1" spans="1:72" s="131" customFormat="1" ht="21" customHeight="1">
      <c r="A1" s="2119" t="s">
        <v>1178</v>
      </c>
      <c r="B1" s="2119"/>
      <c r="C1" s="2119"/>
      <c r="D1" s="2119"/>
      <c r="E1" s="2119"/>
      <c r="F1" s="2119"/>
      <c r="G1" s="2119"/>
      <c r="H1" s="2119"/>
      <c r="I1" s="2119"/>
      <c r="J1" s="2120" t="s">
        <v>1180</v>
      </c>
      <c r="K1" s="2120"/>
      <c r="L1" s="2120"/>
      <c r="M1" s="2120"/>
      <c r="N1" s="2120"/>
      <c r="O1" s="1343"/>
      <c r="P1" s="2118" t="s">
        <v>2149</v>
      </c>
      <c r="Q1" s="2118"/>
      <c r="R1" s="2118"/>
      <c r="X1" s="1343"/>
      <c r="Y1" s="2121" t="s">
        <v>1179</v>
      </c>
      <c r="Z1" s="2121"/>
      <c r="AA1" s="2121"/>
      <c r="AB1" s="2120" t="s">
        <v>1180</v>
      </c>
      <c r="AC1" s="2120"/>
      <c r="AD1" s="2120"/>
      <c r="AE1" s="2120"/>
      <c r="AF1" s="2120"/>
      <c r="AG1" s="1343"/>
      <c r="AH1" s="1343"/>
      <c r="AI1" s="2118" t="s">
        <v>2150</v>
      </c>
      <c r="AJ1" s="2118"/>
      <c r="AK1" s="316"/>
      <c r="AL1" s="1343"/>
      <c r="AM1" s="1343"/>
      <c r="AN1" s="1343"/>
      <c r="AO1" s="1343"/>
      <c r="AP1" s="2121" t="s">
        <v>1179</v>
      </c>
      <c r="AQ1" s="2121"/>
      <c r="AR1" s="2121"/>
      <c r="AS1" s="2121"/>
      <c r="AT1" s="2120" t="s">
        <v>1180</v>
      </c>
      <c r="AU1" s="2120"/>
      <c r="AV1" s="2120"/>
      <c r="AW1" s="2120"/>
      <c r="AX1" s="2120"/>
      <c r="AY1" s="1343"/>
      <c r="AZ1" s="1343"/>
      <c r="BA1" s="2121" t="s">
        <v>2150</v>
      </c>
      <c r="BB1" s="2122"/>
      <c r="BC1" s="1343"/>
      <c r="BD1" s="1343"/>
      <c r="BE1" s="1343"/>
      <c r="BF1" s="1343"/>
      <c r="BG1" s="1343"/>
      <c r="BH1" s="2121" t="s">
        <v>1179</v>
      </c>
      <c r="BI1" s="2121"/>
      <c r="BJ1" s="2121"/>
      <c r="BK1" s="2121"/>
      <c r="BL1" s="2120" t="s">
        <v>1180</v>
      </c>
      <c r="BM1" s="2120"/>
      <c r="BN1" s="2120"/>
      <c r="BO1" s="2120"/>
      <c r="BP1" s="2120"/>
      <c r="BQ1" s="1343"/>
      <c r="BR1" s="2121" t="s">
        <v>1451</v>
      </c>
      <c r="BS1" s="2121"/>
      <c r="BT1" s="2121"/>
    </row>
    <row r="2" spans="1:72" s="131" customFormat="1" ht="12.75" customHeight="1">
      <c r="A2" s="1344"/>
      <c r="B2" s="1344"/>
      <c r="C2" s="1344"/>
      <c r="D2" s="1344"/>
      <c r="E2" s="1344"/>
      <c r="F2" s="1344"/>
      <c r="G2" s="1344"/>
      <c r="H2" s="1344"/>
      <c r="I2" s="1344"/>
      <c r="J2" s="1345"/>
      <c r="K2" s="1345"/>
      <c r="L2" s="1345"/>
      <c r="M2" s="1345"/>
      <c r="N2" s="1345"/>
      <c r="O2" s="1346"/>
      <c r="P2" s="1347"/>
      <c r="Q2" s="1347"/>
      <c r="R2" s="1348" t="s">
        <v>2151</v>
      </c>
      <c r="S2" s="1349"/>
      <c r="T2" s="1349"/>
      <c r="U2" s="1349"/>
      <c r="V2" s="1349"/>
      <c r="W2" s="1349"/>
      <c r="X2" s="1346"/>
      <c r="Y2" s="1350"/>
      <c r="Z2" s="1350"/>
      <c r="AA2" s="1350"/>
      <c r="AB2" s="1345"/>
      <c r="AC2" s="1345"/>
      <c r="AD2" s="1345"/>
      <c r="AE2" s="1345"/>
      <c r="AF2" s="1345"/>
      <c r="AG2" s="1346"/>
      <c r="AH2" s="1346"/>
      <c r="AI2" s="1347"/>
      <c r="AJ2" s="1348" t="s">
        <v>2152</v>
      </c>
      <c r="AK2" s="1351"/>
      <c r="AL2" s="1346"/>
      <c r="AM2" s="1346"/>
      <c r="AN2" s="1346"/>
      <c r="AO2" s="1346"/>
      <c r="AP2" s="1350"/>
      <c r="AQ2" s="1350"/>
      <c r="AR2" s="1350"/>
      <c r="AS2" s="1350"/>
      <c r="AT2" s="1345"/>
      <c r="AU2" s="1345"/>
      <c r="AV2" s="1345"/>
      <c r="AW2" s="1345"/>
      <c r="AX2" s="1345"/>
      <c r="AY2" s="1346"/>
      <c r="AZ2" s="1346"/>
      <c r="BA2" s="1350"/>
      <c r="BB2" s="1352" t="s">
        <v>25</v>
      </c>
      <c r="BC2" s="1346"/>
      <c r="BD2" s="1346"/>
      <c r="BE2" s="1346"/>
      <c r="BF2" s="1346"/>
      <c r="BG2" s="1346"/>
      <c r="BH2" s="1350"/>
      <c r="BI2" s="1350"/>
      <c r="BJ2" s="1350"/>
      <c r="BK2" s="1350"/>
      <c r="BL2" s="1345"/>
      <c r="BM2" s="1345"/>
      <c r="BN2" s="1345"/>
      <c r="BO2" s="1345"/>
      <c r="BP2" s="1345"/>
      <c r="BQ2" s="1346"/>
      <c r="BR2" s="1350"/>
      <c r="BS2" s="1350"/>
      <c r="BT2" s="1352" t="s">
        <v>25</v>
      </c>
    </row>
    <row r="3" spans="1:72" s="278" customFormat="1" ht="17.25" customHeight="1">
      <c r="A3" s="2113" t="s">
        <v>2153</v>
      </c>
      <c r="B3" s="2113" t="s">
        <v>2154</v>
      </c>
      <c r="C3" s="2113" t="s">
        <v>2155</v>
      </c>
      <c r="D3" s="2117" t="s">
        <v>2156</v>
      </c>
      <c r="E3" s="2117" t="s">
        <v>2157</v>
      </c>
      <c r="F3" s="2117" t="s">
        <v>2595</v>
      </c>
      <c r="G3" s="2115" t="s">
        <v>2158</v>
      </c>
      <c r="H3" s="2115" t="s">
        <v>2491</v>
      </c>
      <c r="I3" s="2115" t="s">
        <v>2159</v>
      </c>
      <c r="J3" s="2113" t="s">
        <v>2153</v>
      </c>
      <c r="K3" s="2113" t="s">
        <v>2154</v>
      </c>
      <c r="L3" s="2113" t="s">
        <v>2155</v>
      </c>
      <c r="M3" s="2117" t="s">
        <v>2156</v>
      </c>
      <c r="N3" s="2117" t="s">
        <v>2157</v>
      </c>
      <c r="O3" s="2117" t="s">
        <v>2595</v>
      </c>
      <c r="P3" s="2115" t="s">
        <v>2160</v>
      </c>
      <c r="Q3" s="2115" t="s">
        <v>2491</v>
      </c>
      <c r="R3" s="2115" t="s">
        <v>2159</v>
      </c>
      <c r="S3" s="2113" t="s">
        <v>2153</v>
      </c>
      <c r="T3" s="2113" t="s">
        <v>2154</v>
      </c>
      <c r="U3" s="2113" t="s">
        <v>2155</v>
      </c>
      <c r="V3" s="2117" t="s">
        <v>2156</v>
      </c>
      <c r="W3" s="2117" t="s">
        <v>2157</v>
      </c>
      <c r="X3" s="2117" t="s">
        <v>2595</v>
      </c>
      <c r="Y3" s="2115" t="s">
        <v>2158</v>
      </c>
      <c r="Z3" s="2115" t="s">
        <v>2491</v>
      </c>
      <c r="AA3" s="2115" t="s">
        <v>2159</v>
      </c>
      <c r="AB3" s="2113" t="s">
        <v>2153</v>
      </c>
      <c r="AC3" s="2113" t="s">
        <v>2154</v>
      </c>
      <c r="AD3" s="2113" t="s">
        <v>2155</v>
      </c>
      <c r="AE3" s="2117" t="s">
        <v>2156</v>
      </c>
      <c r="AF3" s="2117" t="s">
        <v>2157</v>
      </c>
      <c r="AG3" s="2117" t="s">
        <v>2595</v>
      </c>
      <c r="AH3" s="2115" t="s">
        <v>2158</v>
      </c>
      <c r="AI3" s="2115" t="s">
        <v>2491</v>
      </c>
      <c r="AJ3" s="2115" t="s">
        <v>2159</v>
      </c>
      <c r="AK3" s="2113" t="s">
        <v>2153</v>
      </c>
      <c r="AL3" s="2113" t="s">
        <v>2154</v>
      </c>
      <c r="AM3" s="2113" t="s">
        <v>2155</v>
      </c>
      <c r="AN3" s="2117" t="s">
        <v>2156</v>
      </c>
      <c r="AO3" s="2117" t="s">
        <v>2157</v>
      </c>
      <c r="AP3" s="2117" t="s">
        <v>2595</v>
      </c>
      <c r="AQ3" s="2115" t="s">
        <v>2158</v>
      </c>
      <c r="AR3" s="2115" t="s">
        <v>2491</v>
      </c>
      <c r="AS3" s="2115" t="s">
        <v>2159</v>
      </c>
      <c r="AT3" s="2113" t="s">
        <v>2153</v>
      </c>
      <c r="AU3" s="2113" t="s">
        <v>2154</v>
      </c>
      <c r="AV3" s="2113" t="s">
        <v>2155</v>
      </c>
      <c r="AW3" s="2117" t="s">
        <v>2156</v>
      </c>
      <c r="AX3" s="2117" t="s">
        <v>2157</v>
      </c>
      <c r="AY3" s="2117" t="s">
        <v>2595</v>
      </c>
      <c r="AZ3" s="2115" t="s">
        <v>2158</v>
      </c>
      <c r="BA3" s="2115" t="s">
        <v>2491</v>
      </c>
      <c r="BB3" s="2115" t="s">
        <v>2159</v>
      </c>
      <c r="BC3" s="2113" t="s">
        <v>2153</v>
      </c>
      <c r="BD3" s="2113" t="s">
        <v>2154</v>
      </c>
      <c r="BE3" s="2113" t="s">
        <v>2155</v>
      </c>
      <c r="BF3" s="2117" t="s">
        <v>2156</v>
      </c>
      <c r="BG3" s="2117" t="s">
        <v>2157</v>
      </c>
      <c r="BH3" s="2117" t="s">
        <v>2595</v>
      </c>
      <c r="BI3" s="2115" t="s">
        <v>2158</v>
      </c>
      <c r="BJ3" s="2115" t="s">
        <v>2491</v>
      </c>
      <c r="BK3" s="2115" t="s">
        <v>2159</v>
      </c>
      <c r="BL3" s="2124" t="s">
        <v>2153</v>
      </c>
      <c r="BM3" s="2124" t="s">
        <v>2492</v>
      </c>
      <c r="BN3" s="2113" t="s">
        <v>2155</v>
      </c>
      <c r="BO3" s="2117" t="s">
        <v>2156</v>
      </c>
      <c r="BP3" s="2117" t="s">
        <v>2157</v>
      </c>
      <c r="BQ3" s="2117" t="s">
        <v>2595</v>
      </c>
      <c r="BR3" s="2115" t="s">
        <v>2158</v>
      </c>
      <c r="BS3" s="2115" t="s">
        <v>2491</v>
      </c>
      <c r="BT3" s="2115" t="s">
        <v>2159</v>
      </c>
    </row>
    <row r="4" spans="1:72" s="83" customFormat="1" ht="27.75" customHeight="1">
      <c r="A4" s="2114"/>
      <c r="B4" s="2114"/>
      <c r="C4" s="2114"/>
      <c r="D4" s="2117"/>
      <c r="E4" s="2117"/>
      <c r="F4" s="2117"/>
      <c r="G4" s="2116"/>
      <c r="H4" s="2116"/>
      <c r="I4" s="2116"/>
      <c r="J4" s="2114"/>
      <c r="K4" s="2114"/>
      <c r="L4" s="2114"/>
      <c r="M4" s="2117"/>
      <c r="N4" s="2117"/>
      <c r="O4" s="2117"/>
      <c r="P4" s="2116"/>
      <c r="Q4" s="2116"/>
      <c r="R4" s="2116"/>
      <c r="S4" s="2114"/>
      <c r="T4" s="2114"/>
      <c r="U4" s="2114"/>
      <c r="V4" s="2117"/>
      <c r="W4" s="2117"/>
      <c r="X4" s="2117"/>
      <c r="Y4" s="2116"/>
      <c r="Z4" s="2116"/>
      <c r="AA4" s="2116"/>
      <c r="AB4" s="2114"/>
      <c r="AC4" s="2114"/>
      <c r="AD4" s="2114"/>
      <c r="AE4" s="2117"/>
      <c r="AF4" s="2117"/>
      <c r="AG4" s="2117"/>
      <c r="AH4" s="2116"/>
      <c r="AI4" s="2116"/>
      <c r="AJ4" s="2116"/>
      <c r="AK4" s="2114"/>
      <c r="AL4" s="2114"/>
      <c r="AM4" s="2114"/>
      <c r="AN4" s="2117"/>
      <c r="AO4" s="2117"/>
      <c r="AP4" s="2117"/>
      <c r="AQ4" s="2116"/>
      <c r="AR4" s="2116"/>
      <c r="AS4" s="2116"/>
      <c r="AT4" s="2114"/>
      <c r="AU4" s="2114"/>
      <c r="AV4" s="2114"/>
      <c r="AW4" s="2117"/>
      <c r="AX4" s="2117"/>
      <c r="AY4" s="2117"/>
      <c r="AZ4" s="2116"/>
      <c r="BA4" s="2116"/>
      <c r="BB4" s="2116"/>
      <c r="BC4" s="2114"/>
      <c r="BD4" s="2114"/>
      <c r="BE4" s="2114"/>
      <c r="BF4" s="2117"/>
      <c r="BG4" s="2117"/>
      <c r="BH4" s="2117"/>
      <c r="BI4" s="2116"/>
      <c r="BJ4" s="2116"/>
      <c r="BK4" s="2116"/>
      <c r="BL4" s="2125"/>
      <c r="BM4" s="2125"/>
      <c r="BN4" s="2114"/>
      <c r="BO4" s="2117"/>
      <c r="BP4" s="2117"/>
      <c r="BQ4" s="2117"/>
      <c r="BR4" s="2116"/>
      <c r="BS4" s="2116"/>
      <c r="BT4" s="2116"/>
    </row>
    <row r="5" spans="1:72" s="322" customFormat="1" ht="13.7" customHeight="1">
      <c r="A5" s="2123" t="s">
        <v>2161</v>
      </c>
      <c r="B5" s="2123"/>
      <c r="C5" s="2123"/>
      <c r="D5" s="2123"/>
      <c r="E5" s="2123"/>
      <c r="F5" s="1374"/>
      <c r="G5" s="1374"/>
      <c r="H5" s="1374"/>
      <c r="I5" s="1374"/>
      <c r="J5" s="953">
        <v>41</v>
      </c>
      <c r="K5" s="1082" t="s">
        <v>2298</v>
      </c>
      <c r="L5" s="1082">
        <v>10</v>
      </c>
      <c r="M5" s="1082" t="s">
        <v>1242</v>
      </c>
      <c r="N5" s="1082" t="s">
        <v>632</v>
      </c>
      <c r="O5" s="1157">
        <v>11.65</v>
      </c>
      <c r="P5" s="1082" t="s">
        <v>430</v>
      </c>
      <c r="Q5" s="1157">
        <v>11.65</v>
      </c>
      <c r="R5" s="1157">
        <v>650</v>
      </c>
      <c r="S5" s="953">
        <v>82</v>
      </c>
      <c r="T5" s="1082" t="s">
        <v>2272</v>
      </c>
      <c r="U5" s="1082">
        <v>15</v>
      </c>
      <c r="V5" s="1082" t="s">
        <v>437</v>
      </c>
      <c r="W5" s="1082" t="s">
        <v>445</v>
      </c>
      <c r="X5" s="1157">
        <v>12.22</v>
      </c>
      <c r="Y5" s="1082" t="s">
        <v>430</v>
      </c>
      <c r="Z5" s="1157">
        <v>12.22</v>
      </c>
      <c r="AA5" s="1157">
        <v>100</v>
      </c>
      <c r="AB5" s="953">
        <v>123</v>
      </c>
      <c r="AC5" s="1138" t="s">
        <v>2273</v>
      </c>
      <c r="AD5" s="1138">
        <v>15</v>
      </c>
      <c r="AE5" s="1138" t="s">
        <v>2274</v>
      </c>
      <c r="AF5" s="1138" t="s">
        <v>2275</v>
      </c>
      <c r="AG5" s="666">
        <v>10.99</v>
      </c>
      <c r="AH5" s="1138" t="s">
        <v>430</v>
      </c>
      <c r="AI5" s="666">
        <v>10.99</v>
      </c>
      <c r="AJ5" s="666">
        <v>200</v>
      </c>
      <c r="AK5" s="953">
        <v>164</v>
      </c>
      <c r="AL5" s="1082" t="s">
        <v>2276</v>
      </c>
      <c r="AM5" s="1082">
        <v>15</v>
      </c>
      <c r="AN5" s="1157" t="s">
        <v>1995</v>
      </c>
      <c r="AO5" s="1082" t="s">
        <v>1996</v>
      </c>
      <c r="AP5" s="1157">
        <v>7.55</v>
      </c>
      <c r="AQ5" s="1082" t="s">
        <v>2612</v>
      </c>
      <c r="AR5" s="1157">
        <v>5.87</v>
      </c>
      <c r="AS5" s="1157">
        <v>4150</v>
      </c>
      <c r="AT5" s="953">
        <v>205</v>
      </c>
      <c r="AU5" s="1082" t="s">
        <v>2278</v>
      </c>
      <c r="AV5" s="1082">
        <v>20</v>
      </c>
      <c r="AW5" s="1082" t="s">
        <v>932</v>
      </c>
      <c r="AX5" s="1082" t="s">
        <v>1434</v>
      </c>
      <c r="AY5" s="1157">
        <v>9.57</v>
      </c>
      <c r="AZ5" s="1082" t="s">
        <v>430</v>
      </c>
      <c r="BA5" s="1157">
        <v>9.57</v>
      </c>
      <c r="BB5" s="1157">
        <v>125</v>
      </c>
      <c r="BC5" s="609">
        <v>246</v>
      </c>
      <c r="BD5" s="1313" t="s">
        <v>2279</v>
      </c>
      <c r="BE5" s="1313">
        <v>20</v>
      </c>
      <c r="BF5" s="1082" t="s">
        <v>1388</v>
      </c>
      <c r="BG5" s="1082" t="s">
        <v>1389</v>
      </c>
      <c r="BH5" s="1157">
        <v>12.139999999999999</v>
      </c>
      <c r="BI5" s="1082" t="s">
        <v>430</v>
      </c>
      <c r="BJ5" s="1157">
        <v>12.139999999999999</v>
      </c>
      <c r="BK5" s="947">
        <v>350</v>
      </c>
      <c r="BL5" s="2123" t="s">
        <v>2170</v>
      </c>
      <c r="BM5" s="2123"/>
      <c r="BN5" s="2123"/>
      <c r="BO5" s="2123"/>
      <c r="BP5" s="2123"/>
      <c r="BQ5" s="1374"/>
      <c r="BR5" s="1374"/>
      <c r="BS5" s="1374"/>
      <c r="BT5" s="1374"/>
    </row>
    <row r="6" spans="1:72" s="322" customFormat="1" ht="13.7" customHeight="1">
      <c r="A6" s="324">
        <v>1</v>
      </c>
      <c r="B6" s="1183" t="s">
        <v>2187</v>
      </c>
      <c r="C6" s="1031">
        <v>2</v>
      </c>
      <c r="D6" s="1031" t="s">
        <v>2087</v>
      </c>
      <c r="E6" s="1031" t="s">
        <v>2094</v>
      </c>
      <c r="F6" s="857">
        <v>7.94</v>
      </c>
      <c r="G6" s="1031" t="s">
        <v>2089</v>
      </c>
      <c r="H6" s="857">
        <v>8.6</v>
      </c>
      <c r="I6" s="857">
        <v>3000</v>
      </c>
      <c r="J6" s="279">
        <v>42</v>
      </c>
      <c r="K6" s="1031" t="s">
        <v>2306</v>
      </c>
      <c r="L6" s="1031">
        <v>10</v>
      </c>
      <c r="M6" s="857" t="s">
        <v>1243</v>
      </c>
      <c r="N6" s="857" t="s">
        <v>1244</v>
      </c>
      <c r="O6" s="857">
        <v>11.75</v>
      </c>
      <c r="P6" s="1031" t="s">
        <v>430</v>
      </c>
      <c r="Q6" s="857">
        <v>11.75</v>
      </c>
      <c r="R6" s="857">
        <v>650</v>
      </c>
      <c r="S6" s="279">
        <v>83</v>
      </c>
      <c r="T6" s="1031" t="s">
        <v>2281</v>
      </c>
      <c r="U6" s="1031">
        <v>15</v>
      </c>
      <c r="V6" s="1031" t="s">
        <v>2282</v>
      </c>
      <c r="W6" s="1031" t="s">
        <v>2283</v>
      </c>
      <c r="X6" s="857">
        <v>12.22</v>
      </c>
      <c r="Y6" s="1031" t="s">
        <v>430</v>
      </c>
      <c r="Z6" s="857">
        <v>12.22</v>
      </c>
      <c r="AA6" s="857">
        <v>100</v>
      </c>
      <c r="AB6" s="279">
        <v>124</v>
      </c>
      <c r="AC6" s="857" t="s">
        <v>2284</v>
      </c>
      <c r="AD6" s="1031">
        <v>15</v>
      </c>
      <c r="AE6" s="1031" t="s">
        <v>1311</v>
      </c>
      <c r="AF6" s="1031" t="s">
        <v>1312</v>
      </c>
      <c r="AG6" s="857">
        <v>11</v>
      </c>
      <c r="AH6" s="1031" t="s">
        <v>430</v>
      </c>
      <c r="AI6" s="857">
        <v>11</v>
      </c>
      <c r="AJ6" s="857">
        <v>200</v>
      </c>
      <c r="AK6" s="279">
        <v>165</v>
      </c>
      <c r="AL6" s="1031" t="s">
        <v>2285</v>
      </c>
      <c r="AM6" s="1031">
        <v>15</v>
      </c>
      <c r="AN6" s="857" t="s">
        <v>2286</v>
      </c>
      <c r="AO6" s="1031" t="s">
        <v>2287</v>
      </c>
      <c r="AP6" s="857">
        <v>8.9</v>
      </c>
      <c r="AQ6" s="1031" t="s">
        <v>2628</v>
      </c>
      <c r="AR6" s="857">
        <v>6.07</v>
      </c>
      <c r="AS6" s="857">
        <v>4450</v>
      </c>
      <c r="AT6" s="279">
        <v>206</v>
      </c>
      <c r="AU6" s="1031" t="s">
        <v>2288</v>
      </c>
      <c r="AV6" s="1031">
        <v>20</v>
      </c>
      <c r="AW6" s="1031" t="s">
        <v>933</v>
      </c>
      <c r="AX6" s="1031" t="s">
        <v>934</v>
      </c>
      <c r="AY6" s="857">
        <v>9.6</v>
      </c>
      <c r="AZ6" s="1031" t="s">
        <v>430</v>
      </c>
      <c r="BA6" s="857">
        <v>9.6</v>
      </c>
      <c r="BB6" s="857">
        <v>150</v>
      </c>
      <c r="BC6" s="291">
        <v>247</v>
      </c>
      <c r="BD6" s="1353" t="s">
        <v>2289</v>
      </c>
      <c r="BE6" s="1353">
        <v>20</v>
      </c>
      <c r="BF6" s="1031" t="s">
        <v>1391</v>
      </c>
      <c r="BG6" s="1031" t="s">
        <v>1390</v>
      </c>
      <c r="BH6" s="857">
        <v>12.120000000000001</v>
      </c>
      <c r="BI6" s="1031" t="s">
        <v>430</v>
      </c>
      <c r="BJ6" s="857">
        <v>12.120000000000001</v>
      </c>
      <c r="BK6" s="1020">
        <v>350</v>
      </c>
      <c r="BL6" s="279">
        <v>1</v>
      </c>
      <c r="BM6" s="1548" t="s">
        <v>2640</v>
      </c>
      <c r="BN6" s="1354">
        <v>3</v>
      </c>
      <c r="BO6" s="1209" t="s">
        <v>2634</v>
      </c>
      <c r="BP6" s="1031" t="s">
        <v>2635</v>
      </c>
      <c r="BQ6" s="1554" t="s">
        <v>2636</v>
      </c>
      <c r="BR6" s="324" t="s">
        <v>430</v>
      </c>
      <c r="BS6" s="1553" t="s">
        <v>2636</v>
      </c>
      <c r="BT6" s="665">
        <v>7.33</v>
      </c>
    </row>
    <row r="7" spans="1:72" s="322" customFormat="1" ht="13.7" customHeight="1">
      <c r="A7" s="366">
        <v>2</v>
      </c>
      <c r="B7" s="1185" t="s">
        <v>2196</v>
      </c>
      <c r="C7" s="1082">
        <v>2</v>
      </c>
      <c r="D7" s="1082" t="s">
        <v>2088</v>
      </c>
      <c r="E7" s="1082" t="s">
        <v>2095</v>
      </c>
      <c r="F7" s="1082">
        <v>8.73</v>
      </c>
      <c r="G7" s="1082" t="s">
        <v>2090</v>
      </c>
      <c r="H7" s="1157">
        <v>8.23</v>
      </c>
      <c r="I7" s="1157">
        <v>4500</v>
      </c>
      <c r="J7" s="953">
        <v>43</v>
      </c>
      <c r="K7" s="1082" t="s">
        <v>2314</v>
      </c>
      <c r="L7" s="1082">
        <v>10</v>
      </c>
      <c r="M7" s="1082" t="s">
        <v>1245</v>
      </c>
      <c r="N7" s="1082" t="s">
        <v>644</v>
      </c>
      <c r="O7" s="1157">
        <v>11.75</v>
      </c>
      <c r="P7" s="1082" t="s">
        <v>430</v>
      </c>
      <c r="Q7" s="1157">
        <v>11.75</v>
      </c>
      <c r="R7" s="1157">
        <v>650</v>
      </c>
      <c r="S7" s="953">
        <v>84</v>
      </c>
      <c r="T7" s="1082" t="s">
        <v>2291</v>
      </c>
      <c r="U7" s="1082">
        <v>15</v>
      </c>
      <c r="V7" s="1082" t="s">
        <v>438</v>
      </c>
      <c r="W7" s="1082" t="s">
        <v>446</v>
      </c>
      <c r="X7" s="1157">
        <v>12.22</v>
      </c>
      <c r="Y7" s="1082" t="s">
        <v>430</v>
      </c>
      <c r="Z7" s="1157">
        <v>12.22</v>
      </c>
      <c r="AA7" s="1157">
        <v>100</v>
      </c>
      <c r="AB7" s="953">
        <v>125</v>
      </c>
      <c r="AC7" s="1157" t="s">
        <v>2292</v>
      </c>
      <c r="AD7" s="1082">
        <v>15</v>
      </c>
      <c r="AE7" s="1082" t="s">
        <v>2293</v>
      </c>
      <c r="AF7" s="1082" t="s">
        <v>2294</v>
      </c>
      <c r="AG7" s="1157">
        <v>11</v>
      </c>
      <c r="AH7" s="1082" t="s">
        <v>430</v>
      </c>
      <c r="AI7" s="1157">
        <v>11</v>
      </c>
      <c r="AJ7" s="1157">
        <v>200</v>
      </c>
      <c r="AK7" s="953">
        <v>166</v>
      </c>
      <c r="AL7" s="1082" t="s">
        <v>2295</v>
      </c>
      <c r="AM7" s="1082">
        <v>15</v>
      </c>
      <c r="AN7" s="1157" t="s">
        <v>2107</v>
      </c>
      <c r="AO7" s="1082" t="s">
        <v>2108</v>
      </c>
      <c r="AP7" s="1157">
        <v>8.6999999999999993</v>
      </c>
      <c r="AQ7" s="1082" t="s">
        <v>2660</v>
      </c>
      <c r="AR7" s="1157">
        <v>5.8</v>
      </c>
      <c r="AS7" s="1157">
        <f>80+3150</f>
        <v>3230</v>
      </c>
      <c r="AT7" s="953">
        <v>207</v>
      </c>
      <c r="AU7" s="1082" t="s">
        <v>2296</v>
      </c>
      <c r="AV7" s="1082">
        <v>20</v>
      </c>
      <c r="AW7" s="1082" t="s">
        <v>935</v>
      </c>
      <c r="AX7" s="1082" t="s">
        <v>936</v>
      </c>
      <c r="AY7" s="1157">
        <v>9.6</v>
      </c>
      <c r="AZ7" s="1082" t="s">
        <v>430</v>
      </c>
      <c r="BA7" s="1157">
        <v>9.6</v>
      </c>
      <c r="BB7" s="1157">
        <v>150</v>
      </c>
      <c r="BC7" s="609">
        <v>248</v>
      </c>
      <c r="BD7" s="1313" t="s">
        <v>2297</v>
      </c>
      <c r="BE7" s="1313">
        <v>20</v>
      </c>
      <c r="BF7" s="1082" t="s">
        <v>1407</v>
      </c>
      <c r="BG7" s="1082" t="s">
        <v>1411</v>
      </c>
      <c r="BH7" s="1157">
        <v>12.1</v>
      </c>
      <c r="BI7" s="1082" t="s">
        <v>430</v>
      </c>
      <c r="BJ7" s="1157">
        <v>12.1</v>
      </c>
      <c r="BK7" s="947">
        <v>250</v>
      </c>
      <c r="BL7" s="953">
        <v>2</v>
      </c>
      <c r="BM7" s="1549" t="s">
        <v>2641</v>
      </c>
      <c r="BN7" s="1356">
        <v>3</v>
      </c>
      <c r="BO7" s="1208" t="s">
        <v>2634</v>
      </c>
      <c r="BP7" s="1082" t="s">
        <v>2635</v>
      </c>
      <c r="BQ7" s="1555" t="s">
        <v>2636</v>
      </c>
      <c r="BR7" s="366" t="s">
        <v>430</v>
      </c>
      <c r="BS7" s="1556" t="s">
        <v>2636</v>
      </c>
      <c r="BT7" s="666">
        <v>33.200000000000003</v>
      </c>
    </row>
    <row r="8" spans="1:72" s="322" customFormat="1" ht="13.7" customHeight="1">
      <c r="A8" s="324">
        <v>3</v>
      </c>
      <c r="B8" s="1183" t="s">
        <v>2208</v>
      </c>
      <c r="C8" s="1031">
        <v>2</v>
      </c>
      <c r="D8" s="1031" t="s">
        <v>2091</v>
      </c>
      <c r="E8" s="1031" t="s">
        <v>2096</v>
      </c>
      <c r="F8" s="1031">
        <v>8.33</v>
      </c>
      <c r="G8" s="1031" t="s">
        <v>2093</v>
      </c>
      <c r="H8" s="857">
        <v>7.84</v>
      </c>
      <c r="I8" s="857">
        <v>4500</v>
      </c>
      <c r="J8" s="279">
        <v>44</v>
      </c>
      <c r="K8" s="1031" t="s">
        <v>2320</v>
      </c>
      <c r="L8" s="1031">
        <v>10</v>
      </c>
      <c r="M8" s="1031" t="s">
        <v>1246</v>
      </c>
      <c r="N8" s="1031" t="s">
        <v>1247</v>
      </c>
      <c r="O8" s="857">
        <v>11.8</v>
      </c>
      <c r="P8" s="1031" t="s">
        <v>430</v>
      </c>
      <c r="Q8" s="857">
        <v>11.8</v>
      </c>
      <c r="R8" s="857">
        <v>700</v>
      </c>
      <c r="S8" s="279">
        <v>85</v>
      </c>
      <c r="T8" s="1031" t="s">
        <v>2299</v>
      </c>
      <c r="U8" s="1031">
        <v>15</v>
      </c>
      <c r="V8" s="1031" t="s">
        <v>439</v>
      </c>
      <c r="W8" s="1031" t="s">
        <v>447</v>
      </c>
      <c r="X8" s="857">
        <v>12.22</v>
      </c>
      <c r="Y8" s="1031" t="s">
        <v>430</v>
      </c>
      <c r="Z8" s="857">
        <v>12.22</v>
      </c>
      <c r="AA8" s="857">
        <v>100</v>
      </c>
      <c r="AB8" s="279">
        <v>126</v>
      </c>
      <c r="AC8" s="857" t="s">
        <v>2300</v>
      </c>
      <c r="AD8" s="1031">
        <v>15</v>
      </c>
      <c r="AE8" s="1031" t="s">
        <v>1313</v>
      </c>
      <c r="AF8" s="1031" t="s">
        <v>1314</v>
      </c>
      <c r="AG8" s="857">
        <v>11.5</v>
      </c>
      <c r="AH8" s="1031" t="s">
        <v>430</v>
      </c>
      <c r="AI8" s="857">
        <v>11.5</v>
      </c>
      <c r="AJ8" s="857">
        <v>275</v>
      </c>
      <c r="AK8" s="279">
        <v>167</v>
      </c>
      <c r="AL8" s="1031" t="s">
        <v>2301</v>
      </c>
      <c r="AM8" s="1031">
        <v>20</v>
      </c>
      <c r="AN8" s="857" t="s">
        <v>2302</v>
      </c>
      <c r="AO8" s="1031" t="s">
        <v>2303</v>
      </c>
      <c r="AP8" s="857">
        <v>15.950000000000001</v>
      </c>
      <c r="AQ8" s="1031" t="s">
        <v>430</v>
      </c>
      <c r="AR8" s="857">
        <v>15.950000000000001</v>
      </c>
      <c r="AS8" s="857">
        <v>50</v>
      </c>
      <c r="AT8" s="279">
        <v>208</v>
      </c>
      <c r="AU8" s="1031" t="s">
        <v>2304</v>
      </c>
      <c r="AV8" s="1031">
        <v>20</v>
      </c>
      <c r="AW8" s="857" t="s">
        <v>937</v>
      </c>
      <c r="AX8" s="1031" t="s">
        <v>938</v>
      </c>
      <c r="AY8" s="857">
        <v>9.6300000000000008</v>
      </c>
      <c r="AZ8" s="1031" t="s">
        <v>430</v>
      </c>
      <c r="BA8" s="857">
        <v>9.6300000000000008</v>
      </c>
      <c r="BB8" s="857">
        <v>160</v>
      </c>
      <c r="BC8" s="291">
        <v>249</v>
      </c>
      <c r="BD8" s="1353" t="s">
        <v>2305</v>
      </c>
      <c r="BE8" s="1353">
        <v>20</v>
      </c>
      <c r="BF8" s="1031" t="s">
        <v>1409</v>
      </c>
      <c r="BG8" s="1031" t="s">
        <v>1412</v>
      </c>
      <c r="BH8" s="857">
        <v>11.89</v>
      </c>
      <c r="BI8" s="1031" t="s">
        <v>430</v>
      </c>
      <c r="BJ8" s="665">
        <v>11.89</v>
      </c>
      <c r="BK8" s="1020">
        <v>250</v>
      </c>
      <c r="BL8" s="279">
        <v>3</v>
      </c>
      <c r="BM8" s="1357" t="s">
        <v>2642</v>
      </c>
      <c r="BN8" s="1354">
        <v>7</v>
      </c>
      <c r="BO8" s="1209" t="s">
        <v>2637</v>
      </c>
      <c r="BP8" s="1031" t="s">
        <v>2638</v>
      </c>
      <c r="BQ8" s="857">
        <v>5</v>
      </c>
      <c r="BR8" s="324" t="s">
        <v>430</v>
      </c>
      <c r="BS8" s="665">
        <v>5</v>
      </c>
      <c r="BT8" s="665">
        <v>1438.54</v>
      </c>
    </row>
    <row r="9" spans="1:72" s="322" customFormat="1" ht="13.7" customHeight="1">
      <c r="A9" s="366">
        <v>4</v>
      </c>
      <c r="B9" s="1185" t="s">
        <v>2218</v>
      </c>
      <c r="C9" s="1082">
        <v>2</v>
      </c>
      <c r="D9" s="1082" t="s">
        <v>2092</v>
      </c>
      <c r="E9" s="1082" t="s">
        <v>2097</v>
      </c>
      <c r="F9" s="1082">
        <v>8.27</v>
      </c>
      <c r="G9" s="1082" t="s">
        <v>430</v>
      </c>
      <c r="H9" s="1157">
        <v>8.27</v>
      </c>
      <c r="I9" s="1157">
        <v>1700</v>
      </c>
      <c r="J9" s="953">
        <v>45</v>
      </c>
      <c r="K9" s="1082" t="s">
        <v>2326</v>
      </c>
      <c r="L9" s="1082">
        <v>10</v>
      </c>
      <c r="M9" s="1082" t="s">
        <v>1248</v>
      </c>
      <c r="N9" s="1082" t="s">
        <v>645</v>
      </c>
      <c r="O9" s="1157">
        <v>11.75</v>
      </c>
      <c r="P9" s="1082" t="s">
        <v>430</v>
      </c>
      <c r="Q9" s="1157">
        <v>11.75</v>
      </c>
      <c r="R9" s="1157">
        <v>700</v>
      </c>
      <c r="S9" s="953">
        <v>86</v>
      </c>
      <c r="T9" s="1082" t="s">
        <v>2307</v>
      </c>
      <c r="U9" s="1082">
        <v>15</v>
      </c>
      <c r="V9" s="1082" t="s">
        <v>440</v>
      </c>
      <c r="W9" s="1082" t="s">
        <v>448</v>
      </c>
      <c r="X9" s="1157">
        <v>12.22</v>
      </c>
      <c r="Y9" s="1082" t="s">
        <v>430</v>
      </c>
      <c r="Z9" s="1157">
        <v>12.22</v>
      </c>
      <c r="AA9" s="1157">
        <v>100</v>
      </c>
      <c r="AB9" s="953">
        <v>127</v>
      </c>
      <c r="AC9" s="1157" t="s">
        <v>2308</v>
      </c>
      <c r="AD9" s="1082">
        <v>15</v>
      </c>
      <c r="AE9" s="1082" t="s">
        <v>1315</v>
      </c>
      <c r="AF9" s="1082" t="s">
        <v>1316</v>
      </c>
      <c r="AG9" s="1157">
        <v>11.6</v>
      </c>
      <c r="AH9" s="1082" t="s">
        <v>430</v>
      </c>
      <c r="AI9" s="1157">
        <v>11.6</v>
      </c>
      <c r="AJ9" s="1157">
        <v>275</v>
      </c>
      <c r="AK9" s="953">
        <v>168</v>
      </c>
      <c r="AL9" s="1082" t="s">
        <v>2309</v>
      </c>
      <c r="AM9" s="1082">
        <v>20</v>
      </c>
      <c r="AN9" s="1082" t="s">
        <v>2310</v>
      </c>
      <c r="AO9" s="1082" t="s">
        <v>2311</v>
      </c>
      <c r="AP9" s="1157">
        <v>15.440000000000001</v>
      </c>
      <c r="AQ9" s="1082" t="s">
        <v>430</v>
      </c>
      <c r="AR9" s="1157">
        <v>15.440000000000001</v>
      </c>
      <c r="AS9" s="1157">
        <v>50</v>
      </c>
      <c r="AT9" s="953">
        <v>209</v>
      </c>
      <c r="AU9" s="1082" t="s">
        <v>2312</v>
      </c>
      <c r="AV9" s="1082">
        <v>20</v>
      </c>
      <c r="AW9" s="1082" t="s">
        <v>941</v>
      </c>
      <c r="AX9" s="1082" t="s">
        <v>942</v>
      </c>
      <c r="AY9" s="1157">
        <v>9.65</v>
      </c>
      <c r="AZ9" s="1082" t="s">
        <v>430</v>
      </c>
      <c r="BA9" s="1157">
        <v>9.65</v>
      </c>
      <c r="BB9" s="1157">
        <v>175</v>
      </c>
      <c r="BC9" s="609">
        <v>250</v>
      </c>
      <c r="BD9" s="1313" t="s">
        <v>2313</v>
      </c>
      <c r="BE9" s="1313">
        <v>20</v>
      </c>
      <c r="BF9" s="1082" t="s">
        <v>1413</v>
      </c>
      <c r="BG9" s="1082" t="s">
        <v>1415</v>
      </c>
      <c r="BH9" s="1157">
        <v>11.98</v>
      </c>
      <c r="BI9" s="1082" t="s">
        <v>430</v>
      </c>
      <c r="BJ9" s="666">
        <v>11.98</v>
      </c>
      <c r="BK9" s="947">
        <v>250</v>
      </c>
      <c r="BL9" s="953">
        <v>4</v>
      </c>
      <c r="BM9" s="1355" t="s">
        <v>2642</v>
      </c>
      <c r="BN9" s="1356">
        <v>7</v>
      </c>
      <c r="BO9" s="1208" t="s">
        <v>2637</v>
      </c>
      <c r="BP9" s="1082" t="s">
        <v>2638</v>
      </c>
      <c r="BQ9" s="1555" t="s">
        <v>2636</v>
      </c>
      <c r="BR9" s="366" t="s">
        <v>430</v>
      </c>
      <c r="BS9" s="1556" t="s">
        <v>2636</v>
      </c>
      <c r="BT9" s="666">
        <v>554</v>
      </c>
    </row>
    <row r="10" spans="1:72" s="322" customFormat="1" ht="13.7" customHeight="1">
      <c r="A10" s="279">
        <v>5</v>
      </c>
      <c r="B10" s="1183" t="s">
        <v>2231</v>
      </c>
      <c r="C10" s="1031">
        <v>2</v>
      </c>
      <c r="D10" s="1031" t="s">
        <v>2232</v>
      </c>
      <c r="E10" s="1031" t="s">
        <v>2233</v>
      </c>
      <c r="F10" s="1031">
        <v>7.68</v>
      </c>
      <c r="G10" s="1031" t="s">
        <v>430</v>
      </c>
      <c r="H10" s="857">
        <v>7.68</v>
      </c>
      <c r="I10" s="857">
        <v>4500</v>
      </c>
      <c r="J10" s="279">
        <v>46</v>
      </c>
      <c r="K10" s="1156" t="s">
        <v>2332</v>
      </c>
      <c r="L10" s="1156">
        <v>10</v>
      </c>
      <c r="M10" s="1156" t="s">
        <v>1249</v>
      </c>
      <c r="N10" s="1156" t="s">
        <v>646</v>
      </c>
      <c r="O10" s="1020">
        <v>11.8</v>
      </c>
      <c r="P10" s="1156" t="s">
        <v>430</v>
      </c>
      <c r="Q10" s="1020">
        <v>11.8</v>
      </c>
      <c r="R10" s="1020">
        <v>700</v>
      </c>
      <c r="S10" s="279">
        <v>87</v>
      </c>
      <c r="T10" s="1031" t="s">
        <v>2315</v>
      </c>
      <c r="U10" s="1031">
        <v>15</v>
      </c>
      <c r="V10" s="1031" t="s">
        <v>1340</v>
      </c>
      <c r="W10" s="1031" t="s">
        <v>1341</v>
      </c>
      <c r="X10" s="857">
        <v>12.14</v>
      </c>
      <c r="Y10" s="1031" t="s">
        <v>430</v>
      </c>
      <c r="Z10" s="857">
        <v>12.14</v>
      </c>
      <c r="AA10" s="857">
        <v>150</v>
      </c>
      <c r="AB10" s="279">
        <v>128</v>
      </c>
      <c r="AC10" s="857" t="s">
        <v>2316</v>
      </c>
      <c r="AD10" s="1031">
        <v>15</v>
      </c>
      <c r="AE10" s="1031" t="s">
        <v>1317</v>
      </c>
      <c r="AF10" s="1031" t="s">
        <v>1318</v>
      </c>
      <c r="AG10" s="857">
        <v>11.65</v>
      </c>
      <c r="AH10" s="1031" t="s">
        <v>430</v>
      </c>
      <c r="AI10" s="857">
        <v>11.65</v>
      </c>
      <c r="AJ10" s="857">
        <v>275</v>
      </c>
      <c r="AK10" s="279">
        <v>169</v>
      </c>
      <c r="AL10" s="1031" t="s">
        <v>2317</v>
      </c>
      <c r="AM10" s="1031">
        <v>20</v>
      </c>
      <c r="AN10" s="857" t="s">
        <v>647</v>
      </c>
      <c r="AO10" s="1031" t="s">
        <v>650</v>
      </c>
      <c r="AP10" s="857">
        <v>14.23</v>
      </c>
      <c r="AQ10" s="1031" t="s">
        <v>430</v>
      </c>
      <c r="AR10" s="857">
        <v>14.23</v>
      </c>
      <c r="AS10" s="857">
        <v>50</v>
      </c>
      <c r="AT10" s="279">
        <v>210</v>
      </c>
      <c r="AU10" s="1031" t="s">
        <v>2318</v>
      </c>
      <c r="AV10" s="1031">
        <v>20</v>
      </c>
      <c r="AW10" s="1031" t="s">
        <v>1603</v>
      </c>
      <c r="AX10" s="1031" t="s">
        <v>1595</v>
      </c>
      <c r="AY10" s="857">
        <v>9.65</v>
      </c>
      <c r="AZ10" s="1031" t="s">
        <v>430</v>
      </c>
      <c r="BA10" s="857">
        <v>9.65</v>
      </c>
      <c r="BB10" s="857">
        <v>175</v>
      </c>
      <c r="BC10" s="291">
        <v>251</v>
      </c>
      <c r="BD10" s="1353" t="s">
        <v>2319</v>
      </c>
      <c r="BE10" s="1353">
        <v>20</v>
      </c>
      <c r="BF10" s="1031" t="s">
        <v>1428</v>
      </c>
      <c r="BG10" s="1031" t="s">
        <v>1433</v>
      </c>
      <c r="BH10" s="857">
        <v>11.98</v>
      </c>
      <c r="BI10" s="1031" t="s">
        <v>430</v>
      </c>
      <c r="BJ10" s="665">
        <v>11.98</v>
      </c>
      <c r="BK10" s="1020">
        <v>250</v>
      </c>
      <c r="BL10" s="279">
        <v>5</v>
      </c>
      <c r="BM10" s="1357" t="s">
        <v>2643</v>
      </c>
      <c r="BN10" s="1354">
        <v>8</v>
      </c>
      <c r="BO10" s="1209" t="s">
        <v>1337</v>
      </c>
      <c r="BP10" s="1031" t="s">
        <v>1339</v>
      </c>
      <c r="BQ10" s="857">
        <v>7</v>
      </c>
      <c r="BR10" s="1015" t="s">
        <v>430</v>
      </c>
      <c r="BS10" s="665">
        <v>7</v>
      </c>
      <c r="BT10" s="665">
        <v>600</v>
      </c>
    </row>
    <row r="11" spans="1:72" s="322" customFormat="1" ht="13.7" customHeight="1">
      <c r="A11" s="953">
        <v>6</v>
      </c>
      <c r="B11" s="1185" t="s">
        <v>2241</v>
      </c>
      <c r="C11" s="1082">
        <v>2</v>
      </c>
      <c r="D11" s="1082" t="s">
        <v>2101</v>
      </c>
      <c r="E11" s="1082" t="s">
        <v>2102</v>
      </c>
      <c r="F11" s="1157">
        <v>7.8</v>
      </c>
      <c r="G11" s="1082" t="s">
        <v>2538</v>
      </c>
      <c r="H11" s="1157">
        <v>3.49</v>
      </c>
      <c r="I11" s="1157">
        <v>4500</v>
      </c>
      <c r="J11" s="953">
        <v>47</v>
      </c>
      <c r="K11" s="1082" t="s">
        <v>2339</v>
      </c>
      <c r="L11" s="1082">
        <v>10</v>
      </c>
      <c r="M11" s="1157" t="s">
        <v>1250</v>
      </c>
      <c r="N11" s="1157" t="s">
        <v>444</v>
      </c>
      <c r="O11" s="1157">
        <v>11.9</v>
      </c>
      <c r="P11" s="1082" t="s">
        <v>430</v>
      </c>
      <c r="Q11" s="1157">
        <v>11.9</v>
      </c>
      <c r="R11" s="1157">
        <v>700</v>
      </c>
      <c r="S11" s="953">
        <v>88</v>
      </c>
      <c r="T11" s="1082" t="s">
        <v>2321</v>
      </c>
      <c r="U11" s="1082">
        <v>15</v>
      </c>
      <c r="V11" s="1176" t="s">
        <v>441</v>
      </c>
      <c r="W11" s="1176" t="s">
        <v>449</v>
      </c>
      <c r="X11" s="1157">
        <v>12.14</v>
      </c>
      <c r="Y11" s="1082" t="s">
        <v>430</v>
      </c>
      <c r="Z11" s="947">
        <v>12.14</v>
      </c>
      <c r="AA11" s="1157">
        <v>150</v>
      </c>
      <c r="AB11" s="953">
        <v>129</v>
      </c>
      <c r="AC11" s="1157" t="s">
        <v>2322</v>
      </c>
      <c r="AD11" s="1082">
        <v>15</v>
      </c>
      <c r="AE11" s="1082" t="s">
        <v>1255</v>
      </c>
      <c r="AF11" s="1082" t="s">
        <v>1256</v>
      </c>
      <c r="AG11" s="1157">
        <v>11.7</v>
      </c>
      <c r="AH11" s="1082" t="s">
        <v>430</v>
      </c>
      <c r="AI11" s="1157">
        <v>11.7</v>
      </c>
      <c r="AJ11" s="1157">
        <v>500</v>
      </c>
      <c r="AK11" s="953">
        <v>170</v>
      </c>
      <c r="AL11" s="1082" t="s">
        <v>2323</v>
      </c>
      <c r="AM11" s="1082">
        <v>20</v>
      </c>
      <c r="AN11" s="1157" t="s">
        <v>648</v>
      </c>
      <c r="AO11" s="1082" t="s">
        <v>651</v>
      </c>
      <c r="AP11" s="1157">
        <v>13.88</v>
      </c>
      <c r="AQ11" s="1082" t="s">
        <v>430</v>
      </c>
      <c r="AR11" s="1157">
        <v>13.88</v>
      </c>
      <c r="AS11" s="1157">
        <v>50</v>
      </c>
      <c r="AT11" s="953">
        <v>211</v>
      </c>
      <c r="AU11" s="1082" t="s">
        <v>2324</v>
      </c>
      <c r="AV11" s="1082">
        <v>20</v>
      </c>
      <c r="AW11" s="1157" t="s">
        <v>1604</v>
      </c>
      <c r="AX11" s="1082" t="s">
        <v>1601</v>
      </c>
      <c r="AY11" s="1157">
        <v>9.65</v>
      </c>
      <c r="AZ11" s="1082" t="s">
        <v>430</v>
      </c>
      <c r="BA11" s="1157">
        <v>9.65</v>
      </c>
      <c r="BB11" s="1157">
        <v>185</v>
      </c>
      <c r="BC11" s="609">
        <v>252</v>
      </c>
      <c r="BD11" s="1313" t="s">
        <v>2325</v>
      </c>
      <c r="BE11" s="1313">
        <v>20</v>
      </c>
      <c r="BF11" s="1082" t="s">
        <v>1430</v>
      </c>
      <c r="BG11" s="1082" t="s">
        <v>1432</v>
      </c>
      <c r="BH11" s="1157">
        <v>11.98</v>
      </c>
      <c r="BI11" s="1082" t="s">
        <v>2238</v>
      </c>
      <c r="BJ11" s="666">
        <v>11.97</v>
      </c>
      <c r="BK11" s="947">
        <v>680</v>
      </c>
      <c r="BL11" s="953">
        <v>6</v>
      </c>
      <c r="BM11" s="1355" t="s">
        <v>2644</v>
      </c>
      <c r="BN11" s="1356">
        <v>8</v>
      </c>
      <c r="BO11" s="1208" t="s">
        <v>1337</v>
      </c>
      <c r="BP11" s="1082" t="s">
        <v>1339</v>
      </c>
      <c r="BQ11" s="1157">
        <v>7</v>
      </c>
      <c r="BR11" s="1138" t="s">
        <v>430</v>
      </c>
      <c r="BS11" s="666">
        <v>7</v>
      </c>
      <c r="BT11" s="666">
        <v>550</v>
      </c>
    </row>
    <row r="12" spans="1:72" s="322" customFormat="1" ht="13.7" customHeight="1">
      <c r="A12" s="324">
        <v>7</v>
      </c>
      <c r="B12" s="1183" t="s">
        <v>2249</v>
      </c>
      <c r="C12" s="1031">
        <v>2</v>
      </c>
      <c r="D12" s="1031" t="s">
        <v>2119</v>
      </c>
      <c r="E12" s="1031" t="s">
        <v>2120</v>
      </c>
      <c r="F12" s="857">
        <v>6.48</v>
      </c>
      <c r="G12" s="1031" t="s">
        <v>430</v>
      </c>
      <c r="H12" s="857">
        <v>6.48</v>
      </c>
      <c r="I12" s="857">
        <v>4500</v>
      </c>
      <c r="J12" s="279">
        <v>48</v>
      </c>
      <c r="K12" s="1031" t="s">
        <v>2346</v>
      </c>
      <c r="L12" s="1031">
        <v>10</v>
      </c>
      <c r="M12" s="857" t="s">
        <v>1251</v>
      </c>
      <c r="N12" s="857" t="s">
        <v>445</v>
      </c>
      <c r="O12" s="857">
        <v>12</v>
      </c>
      <c r="P12" s="1031" t="s">
        <v>430</v>
      </c>
      <c r="Q12" s="857">
        <v>12</v>
      </c>
      <c r="R12" s="857">
        <v>700</v>
      </c>
      <c r="S12" s="279">
        <v>89</v>
      </c>
      <c r="T12" s="1031" t="s">
        <v>2327</v>
      </c>
      <c r="U12" s="1031">
        <v>15</v>
      </c>
      <c r="V12" s="1031" t="s">
        <v>853</v>
      </c>
      <c r="W12" s="1031" t="s">
        <v>854</v>
      </c>
      <c r="X12" s="857">
        <v>12.14</v>
      </c>
      <c r="Y12" s="1031" t="s">
        <v>430</v>
      </c>
      <c r="Z12" s="857">
        <v>12.14</v>
      </c>
      <c r="AA12" s="857">
        <v>150</v>
      </c>
      <c r="AB12" s="279">
        <v>130</v>
      </c>
      <c r="AC12" s="857" t="s">
        <v>2328</v>
      </c>
      <c r="AD12" s="1031">
        <v>15</v>
      </c>
      <c r="AE12" s="1031" t="s">
        <v>1257</v>
      </c>
      <c r="AF12" s="1031" t="s">
        <v>1258</v>
      </c>
      <c r="AG12" s="857">
        <v>11.75</v>
      </c>
      <c r="AH12" s="1031" t="s">
        <v>430</v>
      </c>
      <c r="AI12" s="857">
        <v>11.75</v>
      </c>
      <c r="AJ12" s="857">
        <v>500</v>
      </c>
      <c r="AK12" s="279">
        <v>171</v>
      </c>
      <c r="AL12" s="1031" t="s">
        <v>2329</v>
      </c>
      <c r="AM12" s="1031">
        <v>20</v>
      </c>
      <c r="AN12" s="1031" t="s">
        <v>649</v>
      </c>
      <c r="AO12" s="1031" t="s">
        <v>652</v>
      </c>
      <c r="AP12" s="857">
        <v>13.489999999999998</v>
      </c>
      <c r="AQ12" s="1031" t="s">
        <v>430</v>
      </c>
      <c r="AR12" s="857">
        <v>13.489999999999998</v>
      </c>
      <c r="AS12" s="857">
        <v>50</v>
      </c>
      <c r="AT12" s="279">
        <v>212</v>
      </c>
      <c r="AU12" s="1031" t="s">
        <v>2330</v>
      </c>
      <c r="AV12" s="1031">
        <v>20</v>
      </c>
      <c r="AW12" s="1031" t="s">
        <v>1605</v>
      </c>
      <c r="AX12" s="1031" t="s">
        <v>1602</v>
      </c>
      <c r="AY12" s="857">
        <v>10</v>
      </c>
      <c r="AZ12" s="1031" t="s">
        <v>430</v>
      </c>
      <c r="BA12" s="857">
        <v>10</v>
      </c>
      <c r="BB12" s="857">
        <v>150</v>
      </c>
      <c r="BC12" s="291">
        <v>253</v>
      </c>
      <c r="BD12" s="1353" t="s">
        <v>2331</v>
      </c>
      <c r="BE12" s="1353">
        <v>20</v>
      </c>
      <c r="BF12" s="1031" t="s">
        <v>1562</v>
      </c>
      <c r="BG12" s="1031" t="s">
        <v>1563</v>
      </c>
      <c r="BH12" s="857">
        <v>10.36</v>
      </c>
      <c r="BI12" s="1031" t="s">
        <v>1905</v>
      </c>
      <c r="BJ12" s="665">
        <v>8.09</v>
      </c>
      <c r="BK12" s="1020">
        <v>2600</v>
      </c>
      <c r="BL12" s="279">
        <v>7</v>
      </c>
      <c r="BM12" s="1357" t="s">
        <v>2645</v>
      </c>
      <c r="BN12" s="1354">
        <v>8</v>
      </c>
      <c r="BO12" s="1209" t="s">
        <v>1337</v>
      </c>
      <c r="BP12" s="1031" t="s">
        <v>1339</v>
      </c>
      <c r="BQ12" s="857">
        <v>7</v>
      </c>
      <c r="BR12" s="1015" t="s">
        <v>430</v>
      </c>
      <c r="BS12" s="665">
        <v>7</v>
      </c>
      <c r="BT12" s="665">
        <v>850</v>
      </c>
    </row>
    <row r="13" spans="1:72" s="322" customFormat="1" ht="13.7" customHeight="1">
      <c r="A13" s="366">
        <v>8</v>
      </c>
      <c r="B13" s="1185" t="s">
        <v>2489</v>
      </c>
      <c r="C13" s="1082">
        <v>2</v>
      </c>
      <c r="D13" s="1082" t="s">
        <v>2134</v>
      </c>
      <c r="E13" s="1082" t="s">
        <v>2135</v>
      </c>
      <c r="F13" s="1157">
        <v>5.9</v>
      </c>
      <c r="G13" s="1082" t="s">
        <v>1564</v>
      </c>
      <c r="H13" s="1157">
        <v>4.7</v>
      </c>
      <c r="I13" s="1157">
        <v>4000</v>
      </c>
      <c r="J13" s="953">
        <v>49</v>
      </c>
      <c r="K13" s="1082" t="s">
        <v>2354</v>
      </c>
      <c r="L13" s="1082">
        <v>10</v>
      </c>
      <c r="M13" s="1157" t="s">
        <v>1252</v>
      </c>
      <c r="N13" s="1157" t="s">
        <v>1253</v>
      </c>
      <c r="O13" s="1157">
        <v>12.1</v>
      </c>
      <c r="P13" s="1082" t="s">
        <v>430</v>
      </c>
      <c r="Q13" s="1157">
        <v>12.1</v>
      </c>
      <c r="R13" s="1157">
        <v>1800</v>
      </c>
      <c r="S13" s="953">
        <v>90</v>
      </c>
      <c r="T13" s="1082" t="s">
        <v>2333</v>
      </c>
      <c r="U13" s="1082">
        <v>15</v>
      </c>
      <c r="V13" s="1082" t="s">
        <v>442</v>
      </c>
      <c r="W13" s="1082" t="s">
        <v>2570</v>
      </c>
      <c r="X13" s="1157">
        <v>12.14</v>
      </c>
      <c r="Y13" s="1082" t="s">
        <v>430</v>
      </c>
      <c r="Z13" s="1157">
        <v>12.14</v>
      </c>
      <c r="AA13" s="1157">
        <v>150</v>
      </c>
      <c r="AB13" s="953">
        <v>131</v>
      </c>
      <c r="AC13" s="947" t="s">
        <v>2334</v>
      </c>
      <c r="AD13" s="1176">
        <v>15</v>
      </c>
      <c r="AE13" s="1176" t="s">
        <v>1259</v>
      </c>
      <c r="AF13" s="1176" t="s">
        <v>1260</v>
      </c>
      <c r="AG13" s="947">
        <v>11.8</v>
      </c>
      <c r="AH13" s="1082" t="s">
        <v>430</v>
      </c>
      <c r="AI13" s="947">
        <v>11.8</v>
      </c>
      <c r="AJ13" s="947">
        <v>500</v>
      </c>
      <c r="AK13" s="953">
        <v>172</v>
      </c>
      <c r="AL13" s="1176" t="s">
        <v>2335</v>
      </c>
      <c r="AM13" s="1176">
        <v>20</v>
      </c>
      <c r="AN13" s="1176" t="s">
        <v>2571</v>
      </c>
      <c r="AO13" s="1176" t="s">
        <v>2572</v>
      </c>
      <c r="AP13" s="947">
        <v>13.29</v>
      </c>
      <c r="AQ13" s="1082" t="s">
        <v>430</v>
      </c>
      <c r="AR13" s="947">
        <v>13.29</v>
      </c>
      <c r="AS13" s="947">
        <v>50</v>
      </c>
      <c r="AT13" s="953">
        <v>213</v>
      </c>
      <c r="AU13" s="1176" t="s">
        <v>2336</v>
      </c>
      <c r="AV13" s="1176">
        <v>20</v>
      </c>
      <c r="AW13" s="947" t="s">
        <v>1615</v>
      </c>
      <c r="AX13" s="1176" t="s">
        <v>1606</v>
      </c>
      <c r="AY13" s="947">
        <v>10.25</v>
      </c>
      <c r="AZ13" s="1082" t="s">
        <v>430</v>
      </c>
      <c r="BA13" s="947">
        <v>10.25</v>
      </c>
      <c r="BB13" s="947">
        <v>150</v>
      </c>
      <c r="BC13" s="609">
        <v>254</v>
      </c>
      <c r="BD13" s="1313" t="s">
        <v>2337</v>
      </c>
      <c r="BE13" s="1313">
        <v>20</v>
      </c>
      <c r="BF13" s="1176" t="s">
        <v>1572</v>
      </c>
      <c r="BG13" s="1176" t="s">
        <v>1573</v>
      </c>
      <c r="BH13" s="947">
        <v>8.6999999999999993</v>
      </c>
      <c r="BI13" s="1082" t="s">
        <v>2036</v>
      </c>
      <c r="BJ13" s="666">
        <v>9.43</v>
      </c>
      <c r="BK13" s="947">
        <v>3950</v>
      </c>
      <c r="BL13" s="953">
        <v>8</v>
      </c>
      <c r="BM13" s="1355" t="s">
        <v>2643</v>
      </c>
      <c r="BN13" s="1356">
        <v>10</v>
      </c>
      <c r="BO13" s="1208" t="s">
        <v>1337</v>
      </c>
      <c r="BP13" s="1082" t="s">
        <v>1338</v>
      </c>
      <c r="BQ13" s="1157">
        <v>7</v>
      </c>
      <c r="BR13" s="1138" t="s">
        <v>430</v>
      </c>
      <c r="BS13" s="666">
        <v>7</v>
      </c>
      <c r="BT13" s="666">
        <v>612.67999999999995</v>
      </c>
    </row>
    <row r="14" spans="1:72" s="322" customFormat="1" ht="13.7" customHeight="1">
      <c r="A14" s="324">
        <v>9</v>
      </c>
      <c r="B14" s="1015" t="s">
        <v>2494</v>
      </c>
      <c r="C14" s="297">
        <v>2</v>
      </c>
      <c r="D14" s="1015" t="s">
        <v>2495</v>
      </c>
      <c r="E14" s="1015" t="s">
        <v>2496</v>
      </c>
      <c r="F14" s="665">
        <v>3.64</v>
      </c>
      <c r="G14" s="1015" t="s">
        <v>2509</v>
      </c>
      <c r="H14" s="665">
        <v>4.0999999999999996</v>
      </c>
      <c r="I14" s="665">
        <v>4000</v>
      </c>
      <c r="J14" s="279">
        <v>50</v>
      </c>
      <c r="K14" s="1031" t="s">
        <v>2360</v>
      </c>
      <c r="L14" s="1031">
        <v>10</v>
      </c>
      <c r="M14" s="857" t="s">
        <v>1320</v>
      </c>
      <c r="N14" s="857" t="s">
        <v>1321</v>
      </c>
      <c r="O14" s="857">
        <v>12.1</v>
      </c>
      <c r="P14" s="1031" t="s">
        <v>430</v>
      </c>
      <c r="Q14" s="857">
        <v>12.1</v>
      </c>
      <c r="R14" s="857">
        <v>700</v>
      </c>
      <c r="S14" s="279">
        <v>91</v>
      </c>
      <c r="T14" s="1031" t="s">
        <v>2340</v>
      </c>
      <c r="U14" s="1031">
        <v>15</v>
      </c>
      <c r="V14" s="1031" t="s">
        <v>443</v>
      </c>
      <c r="W14" s="1031" t="s">
        <v>450</v>
      </c>
      <c r="X14" s="857">
        <v>12.14</v>
      </c>
      <c r="Y14" s="1031" t="s">
        <v>430</v>
      </c>
      <c r="Z14" s="857">
        <v>12.14</v>
      </c>
      <c r="AA14" s="857">
        <v>150</v>
      </c>
      <c r="AB14" s="279">
        <v>132</v>
      </c>
      <c r="AC14" s="1031" t="s">
        <v>2341</v>
      </c>
      <c r="AD14" s="1031">
        <v>15</v>
      </c>
      <c r="AE14" s="1031" t="s">
        <v>1261</v>
      </c>
      <c r="AF14" s="1031" t="s">
        <v>1262</v>
      </c>
      <c r="AG14" s="857">
        <v>11.85</v>
      </c>
      <c r="AH14" s="1031" t="s">
        <v>430</v>
      </c>
      <c r="AI14" s="857">
        <v>11.85</v>
      </c>
      <c r="AJ14" s="1020">
        <v>350</v>
      </c>
      <c r="AK14" s="279">
        <v>173</v>
      </c>
      <c r="AL14" s="1031" t="s">
        <v>2342</v>
      </c>
      <c r="AM14" s="1031">
        <v>20</v>
      </c>
      <c r="AN14" s="857" t="s">
        <v>32</v>
      </c>
      <c r="AO14" s="1031" t="s">
        <v>44</v>
      </c>
      <c r="AP14" s="857">
        <v>13.19</v>
      </c>
      <c r="AQ14" s="1031" t="s">
        <v>430</v>
      </c>
      <c r="AR14" s="857">
        <v>13.19</v>
      </c>
      <c r="AS14" s="1020">
        <v>50</v>
      </c>
      <c r="AT14" s="279">
        <v>214</v>
      </c>
      <c r="AU14" s="1031" t="s">
        <v>2343</v>
      </c>
      <c r="AV14" s="1031">
        <v>20</v>
      </c>
      <c r="AW14" s="1031" t="s">
        <v>1616</v>
      </c>
      <c r="AX14" s="1031" t="s">
        <v>1613</v>
      </c>
      <c r="AY14" s="857">
        <v>10.85</v>
      </c>
      <c r="AZ14" s="1031" t="s">
        <v>430</v>
      </c>
      <c r="BA14" s="857">
        <v>10.85</v>
      </c>
      <c r="BB14" s="857">
        <v>150</v>
      </c>
      <c r="BC14" s="291">
        <v>255</v>
      </c>
      <c r="BD14" s="1353" t="s">
        <v>2344</v>
      </c>
      <c r="BE14" s="1353">
        <v>20</v>
      </c>
      <c r="BF14" s="1031" t="s">
        <v>1592</v>
      </c>
      <c r="BG14" s="1031" t="s">
        <v>1593</v>
      </c>
      <c r="BH14" s="857">
        <v>8.24</v>
      </c>
      <c r="BI14" s="1031" t="s">
        <v>1937</v>
      </c>
      <c r="BJ14" s="665">
        <v>7.97</v>
      </c>
      <c r="BK14" s="1020">
        <v>2850</v>
      </c>
      <c r="BL14" s="279">
        <v>9</v>
      </c>
      <c r="BM14" s="1357" t="s">
        <v>2646</v>
      </c>
      <c r="BN14" s="1354">
        <v>10</v>
      </c>
      <c r="BO14" s="1209" t="s">
        <v>1337</v>
      </c>
      <c r="BP14" s="1031" t="s">
        <v>1338</v>
      </c>
      <c r="BQ14" s="857">
        <v>7</v>
      </c>
      <c r="BR14" s="324" t="s">
        <v>430</v>
      </c>
      <c r="BS14" s="665">
        <v>7</v>
      </c>
      <c r="BT14" s="665">
        <v>501.43</v>
      </c>
    </row>
    <row r="15" spans="1:72" s="322" customFormat="1" ht="13.7" customHeight="1">
      <c r="A15" s="1138">
        <v>10</v>
      </c>
      <c r="B15" s="1138" t="s">
        <v>2565</v>
      </c>
      <c r="C15" s="1138">
        <v>2</v>
      </c>
      <c r="D15" s="1138" t="s">
        <v>2566</v>
      </c>
      <c r="E15" s="1138" t="s">
        <v>2567</v>
      </c>
      <c r="F15" s="1138">
        <v>3.14</v>
      </c>
      <c r="G15" s="1138" t="s">
        <v>2575</v>
      </c>
      <c r="H15" s="666">
        <v>3.24</v>
      </c>
      <c r="I15" s="666">
        <v>4500</v>
      </c>
      <c r="J15" s="953">
        <v>51</v>
      </c>
      <c r="K15" s="1082" t="s">
        <v>2369</v>
      </c>
      <c r="L15" s="1082">
        <v>10</v>
      </c>
      <c r="M15" s="1157" t="s">
        <v>1353</v>
      </c>
      <c r="N15" s="1157" t="s">
        <v>1354</v>
      </c>
      <c r="O15" s="1157">
        <v>11.22</v>
      </c>
      <c r="P15" s="1082" t="s">
        <v>2370</v>
      </c>
      <c r="Q15" s="1157">
        <v>12.22</v>
      </c>
      <c r="R15" s="1157">
        <v>1200</v>
      </c>
      <c r="S15" s="953">
        <v>92</v>
      </c>
      <c r="T15" s="1082" t="s">
        <v>2347</v>
      </c>
      <c r="U15" s="1082">
        <v>15</v>
      </c>
      <c r="V15" s="1082" t="s">
        <v>2348</v>
      </c>
      <c r="W15" s="1082" t="s">
        <v>2349</v>
      </c>
      <c r="X15" s="1157">
        <v>12.14</v>
      </c>
      <c r="Y15" s="1082" t="s">
        <v>430</v>
      </c>
      <c r="Z15" s="1157">
        <v>12.14</v>
      </c>
      <c r="AA15" s="1157">
        <v>150</v>
      </c>
      <c r="AB15" s="953">
        <v>133</v>
      </c>
      <c r="AC15" s="1157" t="s">
        <v>2350</v>
      </c>
      <c r="AD15" s="1082">
        <v>15</v>
      </c>
      <c r="AE15" s="1082" t="s">
        <v>1263</v>
      </c>
      <c r="AF15" s="1082" t="s">
        <v>1264</v>
      </c>
      <c r="AG15" s="1157">
        <v>11.88</v>
      </c>
      <c r="AH15" s="1082" t="s">
        <v>430</v>
      </c>
      <c r="AI15" s="1157">
        <v>11.88</v>
      </c>
      <c r="AJ15" s="947">
        <v>350</v>
      </c>
      <c r="AK15" s="953">
        <v>174</v>
      </c>
      <c r="AL15" s="1082" t="s">
        <v>2351</v>
      </c>
      <c r="AM15" s="1082">
        <v>20</v>
      </c>
      <c r="AN15" s="1157" t="s">
        <v>33</v>
      </c>
      <c r="AO15" s="1082" t="s">
        <v>45</v>
      </c>
      <c r="AP15" s="1157">
        <v>13.139999999999999</v>
      </c>
      <c r="AQ15" s="1082" t="s">
        <v>430</v>
      </c>
      <c r="AR15" s="1157">
        <v>13.139999999999999</v>
      </c>
      <c r="AS15" s="947">
        <v>50</v>
      </c>
      <c r="AT15" s="953">
        <v>215</v>
      </c>
      <c r="AU15" s="1082" t="s">
        <v>2352</v>
      </c>
      <c r="AV15" s="1082">
        <v>20</v>
      </c>
      <c r="AW15" s="1082" t="s">
        <v>1614</v>
      </c>
      <c r="AX15" s="1082" t="s">
        <v>1618</v>
      </c>
      <c r="AY15" s="1157">
        <v>11.5</v>
      </c>
      <c r="AZ15" s="1082" t="s">
        <v>430</v>
      </c>
      <c r="BA15" s="1157">
        <v>11.5</v>
      </c>
      <c r="BB15" s="1157">
        <v>175</v>
      </c>
      <c r="BC15" s="609">
        <v>256</v>
      </c>
      <c r="BD15" s="1313" t="s">
        <v>2353</v>
      </c>
      <c r="BE15" s="1313">
        <v>20</v>
      </c>
      <c r="BF15" s="1082" t="s">
        <v>1995</v>
      </c>
      <c r="BG15" s="1082" t="s">
        <v>1997</v>
      </c>
      <c r="BH15" s="1157">
        <v>8.24</v>
      </c>
      <c r="BI15" s="1082" t="s">
        <v>2010</v>
      </c>
      <c r="BJ15" s="666">
        <v>8.68</v>
      </c>
      <c r="BK15" s="947">
        <v>3000</v>
      </c>
      <c r="BL15" s="953">
        <v>10</v>
      </c>
      <c r="BM15" s="1358" t="s">
        <v>2645</v>
      </c>
      <c r="BN15" s="1356">
        <v>10</v>
      </c>
      <c r="BO15" s="1208" t="s">
        <v>1337</v>
      </c>
      <c r="BP15" s="1082" t="s">
        <v>1338</v>
      </c>
      <c r="BQ15" s="1157">
        <v>7</v>
      </c>
      <c r="BR15" s="366" t="s">
        <v>430</v>
      </c>
      <c r="BS15" s="666">
        <v>7</v>
      </c>
      <c r="BT15" s="666">
        <v>821.01</v>
      </c>
    </row>
    <row r="16" spans="1:72" s="322" customFormat="1" ht="13.7" customHeight="1">
      <c r="A16" s="324">
        <v>11</v>
      </c>
      <c r="B16" s="1183" t="s">
        <v>2608</v>
      </c>
      <c r="C16" s="1031">
        <v>2</v>
      </c>
      <c r="D16" s="1031" t="s">
        <v>2609</v>
      </c>
      <c r="E16" s="857" t="s">
        <v>2610</v>
      </c>
      <c r="F16" s="857">
        <v>2.99</v>
      </c>
      <c r="G16" s="1031" t="s">
        <v>2655</v>
      </c>
      <c r="H16" s="857">
        <v>2.4900000000000002</v>
      </c>
      <c r="I16" s="857">
        <f>800+1500+200</f>
        <v>2500</v>
      </c>
      <c r="J16" s="279">
        <v>52</v>
      </c>
      <c r="K16" s="1031" t="s">
        <v>2378</v>
      </c>
      <c r="L16" s="1031">
        <v>10</v>
      </c>
      <c r="M16" s="857" t="s">
        <v>1365</v>
      </c>
      <c r="N16" s="857" t="s">
        <v>1366</v>
      </c>
      <c r="O16" s="857">
        <v>12.16</v>
      </c>
      <c r="P16" s="1031" t="s">
        <v>2379</v>
      </c>
      <c r="Q16" s="857">
        <v>12.1</v>
      </c>
      <c r="R16" s="857">
        <v>1400</v>
      </c>
      <c r="S16" s="279">
        <v>93</v>
      </c>
      <c r="T16" s="1031" t="s">
        <v>2355</v>
      </c>
      <c r="U16" s="1031">
        <v>15</v>
      </c>
      <c r="V16" s="1031" t="s">
        <v>855</v>
      </c>
      <c r="W16" s="1031" t="s">
        <v>856</v>
      </c>
      <c r="X16" s="857">
        <v>12.14</v>
      </c>
      <c r="Y16" s="1031" t="s">
        <v>430</v>
      </c>
      <c r="Z16" s="857">
        <v>12.14</v>
      </c>
      <c r="AA16" s="857">
        <v>150</v>
      </c>
      <c r="AB16" s="279">
        <v>134</v>
      </c>
      <c r="AC16" s="857" t="s">
        <v>2356</v>
      </c>
      <c r="AD16" s="1031">
        <v>15</v>
      </c>
      <c r="AE16" s="1031" t="s">
        <v>1265</v>
      </c>
      <c r="AF16" s="1031" t="s">
        <v>1266</v>
      </c>
      <c r="AG16" s="857">
        <v>11.93</v>
      </c>
      <c r="AH16" s="1031" t="s">
        <v>430</v>
      </c>
      <c r="AI16" s="857">
        <v>11.93</v>
      </c>
      <c r="AJ16" s="857">
        <v>100</v>
      </c>
      <c r="AK16" s="297">
        <v>175</v>
      </c>
      <c r="AL16" s="1031" t="s">
        <v>2357</v>
      </c>
      <c r="AM16" s="1031">
        <v>20</v>
      </c>
      <c r="AN16" s="857" t="s">
        <v>34</v>
      </c>
      <c r="AO16" s="1031" t="s">
        <v>46</v>
      </c>
      <c r="AP16" s="857">
        <v>13.139999999999999</v>
      </c>
      <c r="AQ16" s="1031" t="s">
        <v>430</v>
      </c>
      <c r="AR16" s="857">
        <v>13.139999999999999</v>
      </c>
      <c r="AS16" s="1020">
        <v>50</v>
      </c>
      <c r="AT16" s="279">
        <v>216</v>
      </c>
      <c r="AU16" s="1031" t="s">
        <v>2358</v>
      </c>
      <c r="AV16" s="1031">
        <v>20</v>
      </c>
      <c r="AW16" s="857" t="s">
        <v>1271</v>
      </c>
      <c r="AX16" s="1031" t="s">
        <v>1272</v>
      </c>
      <c r="AY16" s="857">
        <v>11.5</v>
      </c>
      <c r="AZ16" s="1031" t="s">
        <v>430</v>
      </c>
      <c r="BA16" s="857">
        <v>11.5</v>
      </c>
      <c r="BB16" s="857">
        <v>175</v>
      </c>
      <c r="BC16" s="291">
        <v>257</v>
      </c>
      <c r="BD16" s="1353" t="s">
        <v>2359</v>
      </c>
      <c r="BE16" s="1353">
        <v>20</v>
      </c>
      <c r="BF16" s="1031" t="s">
        <v>2015</v>
      </c>
      <c r="BG16" s="1031" t="s">
        <v>2016</v>
      </c>
      <c r="BH16" s="857">
        <v>9.2899999999999991</v>
      </c>
      <c r="BI16" s="1031" t="s">
        <v>2277</v>
      </c>
      <c r="BJ16" s="665">
        <v>8.77</v>
      </c>
      <c r="BK16" s="1020">
        <v>3650</v>
      </c>
      <c r="BL16" s="279">
        <v>11</v>
      </c>
      <c r="BM16" s="1550" t="s">
        <v>2647</v>
      </c>
      <c r="BN16" s="1354">
        <v>11</v>
      </c>
      <c r="BO16" s="1209" t="s">
        <v>1235</v>
      </c>
      <c r="BP16" s="1031" t="s">
        <v>2270</v>
      </c>
      <c r="BQ16" s="857">
        <v>5</v>
      </c>
      <c r="BR16" s="324" t="s">
        <v>430</v>
      </c>
      <c r="BS16" s="665">
        <v>5</v>
      </c>
      <c r="BT16" s="665">
        <v>178.47</v>
      </c>
    </row>
    <row r="17" spans="1:72" s="322" customFormat="1" ht="13.7" customHeight="1">
      <c r="A17" s="366">
        <v>12</v>
      </c>
      <c r="B17" s="1138" t="s">
        <v>2256</v>
      </c>
      <c r="C17" s="1082">
        <v>3</v>
      </c>
      <c r="D17" s="1082" t="s">
        <v>2006</v>
      </c>
      <c r="E17" s="1082" t="s">
        <v>2257</v>
      </c>
      <c r="F17" s="1157">
        <v>6.5</v>
      </c>
      <c r="G17" s="1082" t="s">
        <v>430</v>
      </c>
      <c r="H17" s="1157">
        <v>6.5</v>
      </c>
      <c r="I17" s="1157">
        <v>500</v>
      </c>
      <c r="J17" s="953">
        <v>53</v>
      </c>
      <c r="K17" s="1082" t="s">
        <v>2381</v>
      </c>
      <c r="L17" s="1082">
        <v>10</v>
      </c>
      <c r="M17" s="1157" t="s">
        <v>1378</v>
      </c>
      <c r="N17" s="1157" t="s">
        <v>1379</v>
      </c>
      <c r="O17" s="1157">
        <v>11.75</v>
      </c>
      <c r="P17" s="1082" t="s">
        <v>2382</v>
      </c>
      <c r="Q17" s="1157">
        <v>11.67</v>
      </c>
      <c r="R17" s="1157">
        <v>1450</v>
      </c>
      <c r="S17" s="953">
        <v>94</v>
      </c>
      <c r="T17" s="1082" t="s">
        <v>2361</v>
      </c>
      <c r="U17" s="1082">
        <v>15</v>
      </c>
      <c r="V17" s="1082" t="s">
        <v>857</v>
      </c>
      <c r="W17" s="1082" t="s">
        <v>858</v>
      </c>
      <c r="X17" s="1157">
        <v>12.14</v>
      </c>
      <c r="Y17" s="1082" t="s">
        <v>430</v>
      </c>
      <c r="Z17" s="1157">
        <v>12.14</v>
      </c>
      <c r="AA17" s="1157">
        <v>150</v>
      </c>
      <c r="AB17" s="1190">
        <v>135</v>
      </c>
      <c r="AC17" s="1082" t="s">
        <v>2362</v>
      </c>
      <c r="AD17" s="1082">
        <v>15</v>
      </c>
      <c r="AE17" s="1082" t="s">
        <v>1267</v>
      </c>
      <c r="AF17" s="1082" t="s">
        <v>1268</v>
      </c>
      <c r="AG17" s="1157">
        <v>12</v>
      </c>
      <c r="AH17" s="1082" t="s">
        <v>430</v>
      </c>
      <c r="AI17" s="1157">
        <v>12</v>
      </c>
      <c r="AJ17" s="1157">
        <v>100</v>
      </c>
      <c r="AK17" s="953">
        <v>176</v>
      </c>
      <c r="AL17" s="1082" t="s">
        <v>2363</v>
      </c>
      <c r="AM17" s="1082">
        <v>20</v>
      </c>
      <c r="AN17" s="1157" t="s">
        <v>35</v>
      </c>
      <c r="AO17" s="1082" t="s">
        <v>47</v>
      </c>
      <c r="AP17" s="1157">
        <v>13.139999999999999</v>
      </c>
      <c r="AQ17" s="1082" t="s">
        <v>430</v>
      </c>
      <c r="AR17" s="1157">
        <v>13.139999999999999</v>
      </c>
      <c r="AS17" s="947">
        <v>50</v>
      </c>
      <c r="AT17" s="953">
        <v>217</v>
      </c>
      <c r="AU17" s="1082" t="s">
        <v>2364</v>
      </c>
      <c r="AV17" s="1082">
        <v>20</v>
      </c>
      <c r="AW17" s="1082" t="s">
        <v>1619</v>
      </c>
      <c r="AX17" s="1082" t="s">
        <v>1627</v>
      </c>
      <c r="AY17" s="1157">
        <v>11.5</v>
      </c>
      <c r="AZ17" s="1082" t="s">
        <v>430</v>
      </c>
      <c r="BA17" s="1157">
        <v>11.5</v>
      </c>
      <c r="BB17" s="1157">
        <v>175</v>
      </c>
      <c r="BC17" s="609">
        <v>258</v>
      </c>
      <c r="BD17" s="1313" t="s">
        <v>2365</v>
      </c>
      <c r="BE17" s="1313">
        <v>20</v>
      </c>
      <c r="BF17" s="1082" t="s">
        <v>2366</v>
      </c>
      <c r="BG17" s="1082" t="s">
        <v>2367</v>
      </c>
      <c r="BH17" s="1157">
        <v>9.1999999999999993</v>
      </c>
      <c r="BI17" s="1082" t="s">
        <v>2504</v>
      </c>
      <c r="BJ17" s="666">
        <v>7.05</v>
      </c>
      <c r="BK17" s="947">
        <v>3950</v>
      </c>
      <c r="BL17" s="953">
        <v>12</v>
      </c>
      <c r="BM17" s="1551" t="s">
        <v>2648</v>
      </c>
      <c r="BN17" s="1356">
        <v>11</v>
      </c>
      <c r="BO17" s="1208" t="s">
        <v>1235</v>
      </c>
      <c r="BP17" s="1082" t="s">
        <v>2270</v>
      </c>
      <c r="BQ17" s="1157">
        <v>5</v>
      </c>
      <c r="BR17" s="366" t="s">
        <v>430</v>
      </c>
      <c r="BS17" s="666">
        <v>5</v>
      </c>
      <c r="BT17" s="666">
        <v>248.91</v>
      </c>
    </row>
    <row r="18" spans="1:72" s="322" customFormat="1" ht="13.7" customHeight="1">
      <c r="A18" s="324">
        <v>13</v>
      </c>
      <c r="B18" s="1015" t="s">
        <v>2338</v>
      </c>
      <c r="C18" s="1031">
        <v>5</v>
      </c>
      <c r="D18" s="1031" t="s">
        <v>1598</v>
      </c>
      <c r="E18" s="1031" t="s">
        <v>1070</v>
      </c>
      <c r="F18" s="1031">
        <v>7.09</v>
      </c>
      <c r="G18" s="1031" t="s">
        <v>1620</v>
      </c>
      <c r="H18" s="857">
        <v>6</v>
      </c>
      <c r="I18" s="857">
        <v>2450</v>
      </c>
      <c r="J18" s="279">
        <v>54</v>
      </c>
      <c r="K18" s="1183" t="s">
        <v>2401</v>
      </c>
      <c r="L18" s="1183">
        <v>10</v>
      </c>
      <c r="M18" s="1020" t="s">
        <v>1511</v>
      </c>
      <c r="N18" s="1020" t="s">
        <v>1512</v>
      </c>
      <c r="O18" s="1020">
        <v>10.72</v>
      </c>
      <c r="P18" s="1183" t="s">
        <v>1887</v>
      </c>
      <c r="Q18" s="1020">
        <v>6.84</v>
      </c>
      <c r="R18" s="1020">
        <v>2800</v>
      </c>
      <c r="S18" s="297">
        <v>95</v>
      </c>
      <c r="T18" s="1031" t="s">
        <v>2371</v>
      </c>
      <c r="U18" s="1031">
        <v>15</v>
      </c>
      <c r="V18" s="1031" t="s">
        <v>859</v>
      </c>
      <c r="W18" s="1031" t="s">
        <v>860</v>
      </c>
      <c r="X18" s="857">
        <v>12.14</v>
      </c>
      <c r="Y18" s="1031" t="s">
        <v>430</v>
      </c>
      <c r="Z18" s="857">
        <v>12.14</v>
      </c>
      <c r="AA18" s="857">
        <v>150</v>
      </c>
      <c r="AB18" s="279">
        <v>136</v>
      </c>
      <c r="AC18" s="1031" t="s">
        <v>2372</v>
      </c>
      <c r="AD18" s="1031">
        <v>15</v>
      </c>
      <c r="AE18" s="1031" t="s">
        <v>1269</v>
      </c>
      <c r="AF18" s="1031" t="s">
        <v>1270</v>
      </c>
      <c r="AG18" s="857">
        <v>12.1</v>
      </c>
      <c r="AH18" s="1031" t="s">
        <v>430</v>
      </c>
      <c r="AI18" s="857">
        <v>12.1</v>
      </c>
      <c r="AJ18" s="857">
        <v>100</v>
      </c>
      <c r="AK18" s="279">
        <v>177</v>
      </c>
      <c r="AL18" s="1031" t="s">
        <v>2373</v>
      </c>
      <c r="AM18" s="1031">
        <v>20</v>
      </c>
      <c r="AN18" s="1031" t="s">
        <v>36</v>
      </c>
      <c r="AO18" s="1031" t="s">
        <v>48</v>
      </c>
      <c r="AP18" s="857">
        <v>13.13</v>
      </c>
      <c r="AQ18" s="1031" t="s">
        <v>430</v>
      </c>
      <c r="AR18" s="857">
        <v>13.13</v>
      </c>
      <c r="AS18" s="1020">
        <v>50</v>
      </c>
      <c r="AT18" s="279">
        <v>218</v>
      </c>
      <c r="AU18" s="1031" t="s">
        <v>2374</v>
      </c>
      <c r="AV18" s="1031">
        <v>20</v>
      </c>
      <c r="AW18" s="857" t="s">
        <v>2375</v>
      </c>
      <c r="AX18" s="1031" t="s">
        <v>1630</v>
      </c>
      <c r="AY18" s="857">
        <v>11.95</v>
      </c>
      <c r="AZ18" s="1031" t="s">
        <v>430</v>
      </c>
      <c r="BA18" s="857">
        <v>11.95</v>
      </c>
      <c r="BB18" s="857">
        <v>250</v>
      </c>
      <c r="BC18" s="324">
        <v>259</v>
      </c>
      <c r="BD18" s="1015" t="s">
        <v>2376</v>
      </c>
      <c r="BE18" s="1015">
        <v>20</v>
      </c>
      <c r="BF18" s="1031" t="s">
        <v>2107</v>
      </c>
      <c r="BG18" s="1031" t="s">
        <v>2109</v>
      </c>
      <c r="BH18" s="857">
        <v>8.94</v>
      </c>
      <c r="BI18" s="1031" t="s">
        <v>2628</v>
      </c>
      <c r="BJ18" s="665">
        <v>6.64</v>
      </c>
      <c r="BK18" s="1020">
        <f>3500+1000</f>
        <v>4500</v>
      </c>
      <c r="BL18" s="279">
        <v>13</v>
      </c>
      <c r="BM18" s="1550" t="s">
        <v>2649</v>
      </c>
      <c r="BN18" s="1354">
        <v>11</v>
      </c>
      <c r="BO18" s="1209" t="s">
        <v>1235</v>
      </c>
      <c r="BP18" s="1031" t="s">
        <v>2270</v>
      </c>
      <c r="BQ18" s="857">
        <v>5</v>
      </c>
      <c r="BR18" s="324" t="s">
        <v>430</v>
      </c>
      <c r="BS18" s="665">
        <v>5</v>
      </c>
      <c r="BT18" s="665">
        <v>169.96</v>
      </c>
    </row>
    <row r="19" spans="1:72" s="322" customFormat="1" ht="13.7" customHeight="1" thickBot="1">
      <c r="A19" s="366">
        <v>14</v>
      </c>
      <c r="B19" s="1138" t="s">
        <v>2345</v>
      </c>
      <c r="C19" s="1082">
        <v>5</v>
      </c>
      <c r="D19" s="1082" t="s">
        <v>1625</v>
      </c>
      <c r="E19" s="1082" t="s">
        <v>1298</v>
      </c>
      <c r="F19" s="1082">
        <v>5.84</v>
      </c>
      <c r="G19" s="1082" t="s">
        <v>1754</v>
      </c>
      <c r="H19" s="1157">
        <v>5.93</v>
      </c>
      <c r="I19" s="1157">
        <v>2800</v>
      </c>
      <c r="J19" s="1190">
        <v>55</v>
      </c>
      <c r="K19" s="1082" t="s">
        <v>2409</v>
      </c>
      <c r="L19" s="1082">
        <v>10</v>
      </c>
      <c r="M19" s="1157" t="s">
        <v>2410</v>
      </c>
      <c r="N19" s="1157" t="s">
        <v>2411</v>
      </c>
      <c r="O19" s="1157">
        <v>8.39</v>
      </c>
      <c r="P19" s="1082" t="s">
        <v>2412</v>
      </c>
      <c r="Q19" s="1157">
        <v>6.99</v>
      </c>
      <c r="R19" s="1157">
        <v>3000</v>
      </c>
      <c r="S19" s="953">
        <v>96</v>
      </c>
      <c r="T19" s="1082" t="s">
        <v>2385</v>
      </c>
      <c r="U19" s="1082">
        <v>15</v>
      </c>
      <c r="V19" s="1185" t="s">
        <v>861</v>
      </c>
      <c r="W19" s="1185" t="s">
        <v>862</v>
      </c>
      <c r="X19" s="1157">
        <v>10.09</v>
      </c>
      <c r="Y19" s="1082" t="s">
        <v>430</v>
      </c>
      <c r="Z19" s="947">
        <v>10.09</v>
      </c>
      <c r="AA19" s="1157">
        <v>80</v>
      </c>
      <c r="AB19" s="953">
        <v>137</v>
      </c>
      <c r="AC19" s="1082" t="s">
        <v>2386</v>
      </c>
      <c r="AD19" s="1082">
        <v>15</v>
      </c>
      <c r="AE19" s="1082" t="s">
        <v>1322</v>
      </c>
      <c r="AF19" s="1082" t="s">
        <v>1323</v>
      </c>
      <c r="AG19" s="1157">
        <v>12.379999999999999</v>
      </c>
      <c r="AH19" s="1082" t="s">
        <v>430</v>
      </c>
      <c r="AI19" s="1157">
        <v>12.379999999999999</v>
      </c>
      <c r="AJ19" s="1157">
        <v>100</v>
      </c>
      <c r="AK19" s="953">
        <v>178</v>
      </c>
      <c r="AL19" s="1082" t="s">
        <v>2387</v>
      </c>
      <c r="AM19" s="1082">
        <v>20</v>
      </c>
      <c r="AN19" s="1082" t="s">
        <v>37</v>
      </c>
      <c r="AO19" s="1082" t="s">
        <v>1659</v>
      </c>
      <c r="AP19" s="1157">
        <v>13.07</v>
      </c>
      <c r="AQ19" s="1082" t="s">
        <v>430</v>
      </c>
      <c r="AR19" s="1157">
        <v>13.07</v>
      </c>
      <c r="AS19" s="947">
        <v>125</v>
      </c>
      <c r="AT19" s="953">
        <v>219</v>
      </c>
      <c r="AU19" s="1082" t="s">
        <v>2388</v>
      </c>
      <c r="AV19" s="1082">
        <v>20</v>
      </c>
      <c r="AW19" s="1082" t="s">
        <v>2389</v>
      </c>
      <c r="AX19" s="1082" t="s">
        <v>2390</v>
      </c>
      <c r="AY19" s="1157">
        <v>12.07</v>
      </c>
      <c r="AZ19" s="1082" t="s">
        <v>430</v>
      </c>
      <c r="BA19" s="1157">
        <v>12.07</v>
      </c>
      <c r="BB19" s="1157">
        <v>325</v>
      </c>
      <c r="BC19" s="1059">
        <v>260</v>
      </c>
      <c r="BD19" s="1370" t="s">
        <v>2661</v>
      </c>
      <c r="BE19" s="1370">
        <v>20</v>
      </c>
      <c r="BF19" s="1359" t="s">
        <v>2660</v>
      </c>
      <c r="BG19" s="1359" t="s">
        <v>2662</v>
      </c>
      <c r="BH19" s="1360">
        <v>6.07</v>
      </c>
      <c r="BI19" s="1359" t="s">
        <v>430</v>
      </c>
      <c r="BJ19" s="1371">
        <v>6.07</v>
      </c>
      <c r="BK19" s="1375">
        <v>70</v>
      </c>
      <c r="BL19" s="953">
        <v>14</v>
      </c>
      <c r="BM19" s="1551" t="s">
        <v>2647</v>
      </c>
      <c r="BN19" s="1356">
        <v>13</v>
      </c>
      <c r="BO19" s="1208" t="s">
        <v>1235</v>
      </c>
      <c r="BP19" s="1082" t="s">
        <v>1254</v>
      </c>
      <c r="BQ19" s="1157">
        <v>5</v>
      </c>
      <c r="BR19" s="366" t="s">
        <v>430</v>
      </c>
      <c r="BS19" s="367">
        <v>5</v>
      </c>
      <c r="BT19" s="666">
        <v>214.17</v>
      </c>
    </row>
    <row r="20" spans="1:72" s="322" customFormat="1" ht="13.7" customHeight="1">
      <c r="A20" s="324">
        <v>15</v>
      </c>
      <c r="B20" s="1183" t="s">
        <v>2368</v>
      </c>
      <c r="C20" s="1031">
        <v>5</v>
      </c>
      <c r="D20" s="1031" t="s">
        <v>2001</v>
      </c>
      <c r="E20" s="1031" t="s">
        <v>2002</v>
      </c>
      <c r="F20" s="1031">
        <v>6.44</v>
      </c>
      <c r="G20" s="1031" t="s">
        <v>2023</v>
      </c>
      <c r="H20" s="857">
        <v>9.23</v>
      </c>
      <c r="I20" s="857">
        <v>2700</v>
      </c>
      <c r="J20" s="279">
        <v>56</v>
      </c>
      <c r="K20" s="1031" t="s">
        <v>2420</v>
      </c>
      <c r="L20" s="1031">
        <v>10</v>
      </c>
      <c r="M20" s="1031" t="s">
        <v>1578</v>
      </c>
      <c r="N20" s="1031" t="s">
        <v>1579</v>
      </c>
      <c r="O20" s="857">
        <v>7.39</v>
      </c>
      <c r="P20" s="1031" t="s">
        <v>1234</v>
      </c>
      <c r="Q20" s="857">
        <v>7.29</v>
      </c>
      <c r="R20" s="857">
        <v>2600</v>
      </c>
      <c r="S20" s="279">
        <v>97</v>
      </c>
      <c r="T20" s="1031" t="s">
        <v>2392</v>
      </c>
      <c r="U20" s="1031">
        <v>15</v>
      </c>
      <c r="V20" s="1031" t="s">
        <v>863</v>
      </c>
      <c r="W20" s="1031" t="s">
        <v>864</v>
      </c>
      <c r="X20" s="857">
        <v>9.39</v>
      </c>
      <c r="Y20" s="1031" t="s">
        <v>430</v>
      </c>
      <c r="Z20" s="857">
        <v>9.39</v>
      </c>
      <c r="AA20" s="857">
        <v>150</v>
      </c>
      <c r="AB20" s="279">
        <v>138</v>
      </c>
      <c r="AC20" s="1031" t="s">
        <v>2393</v>
      </c>
      <c r="AD20" s="1031">
        <v>15</v>
      </c>
      <c r="AE20" s="1031" t="s">
        <v>1325</v>
      </c>
      <c r="AF20" s="1031" t="s">
        <v>1326</v>
      </c>
      <c r="AG20" s="857">
        <v>12.379999999999999</v>
      </c>
      <c r="AH20" s="1031" t="s">
        <v>430</v>
      </c>
      <c r="AI20" s="857">
        <v>12.379999999999999</v>
      </c>
      <c r="AJ20" s="857">
        <v>200</v>
      </c>
      <c r="AK20" s="279">
        <v>179</v>
      </c>
      <c r="AL20" s="1031" t="s">
        <v>2394</v>
      </c>
      <c r="AM20" s="1031">
        <v>20</v>
      </c>
      <c r="AN20" s="1031" t="s">
        <v>38</v>
      </c>
      <c r="AO20" s="1031" t="s">
        <v>49</v>
      </c>
      <c r="AP20" s="857">
        <v>13.07</v>
      </c>
      <c r="AQ20" s="1031" t="s">
        <v>430</v>
      </c>
      <c r="AR20" s="857">
        <v>13.07</v>
      </c>
      <c r="AS20" s="1020">
        <v>125</v>
      </c>
      <c r="AT20" s="297">
        <v>220</v>
      </c>
      <c r="AU20" s="1031" t="s">
        <v>2395</v>
      </c>
      <c r="AV20" s="1031">
        <v>20</v>
      </c>
      <c r="AW20" s="1031" t="s">
        <v>2396</v>
      </c>
      <c r="AX20" s="1031" t="s">
        <v>2397</v>
      </c>
      <c r="AY20" s="857">
        <v>12.1</v>
      </c>
      <c r="AZ20" s="1031" t="s">
        <v>430</v>
      </c>
      <c r="BA20" s="857">
        <v>12.1</v>
      </c>
      <c r="BB20" s="857">
        <v>325</v>
      </c>
      <c r="BC20" s="324"/>
      <c r="BD20" s="1015"/>
      <c r="BE20" s="1015"/>
      <c r="BF20" s="1031"/>
      <c r="BG20" s="1031"/>
      <c r="BH20" s="857"/>
      <c r="BI20" s="1031"/>
      <c r="BJ20" s="665"/>
      <c r="BK20" s="1020"/>
      <c r="BL20" s="279">
        <v>15</v>
      </c>
      <c r="BM20" s="322" t="s">
        <v>2648</v>
      </c>
      <c r="BN20" s="324">
        <v>13</v>
      </c>
      <c r="BO20" s="1015" t="s">
        <v>1235</v>
      </c>
      <c r="BP20" s="1015" t="s">
        <v>1254</v>
      </c>
      <c r="BQ20" s="325">
        <v>5</v>
      </c>
      <c r="BR20" s="324" t="s">
        <v>430</v>
      </c>
      <c r="BS20" s="325">
        <v>5</v>
      </c>
      <c r="BT20" s="1015">
        <v>298.68</v>
      </c>
    </row>
    <row r="21" spans="1:72" s="322" customFormat="1" ht="13.7" customHeight="1">
      <c r="A21" s="366">
        <v>18</v>
      </c>
      <c r="B21" s="1185" t="s">
        <v>2377</v>
      </c>
      <c r="C21" s="1185">
        <v>5</v>
      </c>
      <c r="D21" s="1185" t="s">
        <v>2008</v>
      </c>
      <c r="E21" s="1439" t="s">
        <v>2009</v>
      </c>
      <c r="F21" s="1439">
        <v>8.1</v>
      </c>
      <c r="G21" s="1082" t="s">
        <v>2029</v>
      </c>
      <c r="H21" s="947">
        <v>8.9700000000000006</v>
      </c>
      <c r="I21" s="947">
        <v>4300</v>
      </c>
      <c r="J21" s="953">
        <v>59</v>
      </c>
      <c r="K21" s="1082" t="s">
        <v>2428</v>
      </c>
      <c r="L21" s="1082">
        <v>10</v>
      </c>
      <c r="M21" s="1082" t="s">
        <v>1599</v>
      </c>
      <c r="N21" s="1082" t="s">
        <v>1600</v>
      </c>
      <c r="O21" s="1157">
        <v>7.59</v>
      </c>
      <c r="P21" s="1082" t="s">
        <v>1626</v>
      </c>
      <c r="Q21" s="1157">
        <v>6.89</v>
      </c>
      <c r="R21" s="1157">
        <v>2700</v>
      </c>
      <c r="S21" s="953">
        <v>100</v>
      </c>
      <c r="T21" s="1082" t="s">
        <v>2402</v>
      </c>
      <c r="U21" s="1082">
        <v>15</v>
      </c>
      <c r="V21" s="1082" t="s">
        <v>865</v>
      </c>
      <c r="W21" s="1082" t="s">
        <v>866</v>
      </c>
      <c r="X21" s="1157">
        <v>8.59</v>
      </c>
      <c r="Y21" s="1082" t="s">
        <v>430</v>
      </c>
      <c r="Z21" s="1157">
        <v>8.59</v>
      </c>
      <c r="AA21" s="1157">
        <v>150</v>
      </c>
      <c r="AB21" s="953">
        <v>141</v>
      </c>
      <c r="AC21" s="1082" t="s">
        <v>2403</v>
      </c>
      <c r="AD21" s="1082">
        <v>15</v>
      </c>
      <c r="AE21" s="1082" t="s">
        <v>1329</v>
      </c>
      <c r="AF21" s="1082" t="s">
        <v>1330</v>
      </c>
      <c r="AG21" s="1157">
        <v>12.379999999999999</v>
      </c>
      <c r="AH21" s="1082" t="s">
        <v>430</v>
      </c>
      <c r="AI21" s="1157">
        <v>12.379999999999999</v>
      </c>
      <c r="AJ21" s="947">
        <v>200</v>
      </c>
      <c r="AK21" s="953">
        <v>182</v>
      </c>
      <c r="AL21" s="1082" t="s">
        <v>2404</v>
      </c>
      <c r="AM21" s="1082">
        <v>20</v>
      </c>
      <c r="AN21" s="1157" t="s">
        <v>39</v>
      </c>
      <c r="AO21" s="1082" t="s">
        <v>50</v>
      </c>
      <c r="AP21" s="1157">
        <v>13.04</v>
      </c>
      <c r="AQ21" s="1082" t="s">
        <v>430</v>
      </c>
      <c r="AR21" s="1157">
        <v>13.04</v>
      </c>
      <c r="AS21" s="947">
        <v>125</v>
      </c>
      <c r="AT21" s="953">
        <v>223</v>
      </c>
      <c r="AU21" s="1082" t="s">
        <v>2405</v>
      </c>
      <c r="AV21" s="1082">
        <v>20</v>
      </c>
      <c r="AW21" s="1082" t="s">
        <v>2406</v>
      </c>
      <c r="AX21" s="1082" t="s">
        <v>2407</v>
      </c>
      <c r="AY21" s="1157">
        <v>12.12</v>
      </c>
      <c r="AZ21" s="1082" t="s">
        <v>430</v>
      </c>
      <c r="BA21" s="1157">
        <v>12.12</v>
      </c>
      <c r="BB21" s="1157">
        <v>341</v>
      </c>
      <c r="BC21" s="324"/>
      <c r="BL21" s="953">
        <v>16</v>
      </c>
      <c r="BM21" s="399" t="s">
        <v>2649</v>
      </c>
      <c r="BN21" s="366">
        <v>13</v>
      </c>
      <c r="BO21" s="1138" t="s">
        <v>1235</v>
      </c>
      <c r="BP21" s="1138" t="s">
        <v>1254</v>
      </c>
      <c r="BQ21" s="367">
        <v>5</v>
      </c>
      <c r="BR21" s="366" t="s">
        <v>430</v>
      </c>
      <c r="BS21" s="367">
        <v>5</v>
      </c>
      <c r="BT21" s="1138">
        <v>203.95</v>
      </c>
    </row>
    <row r="22" spans="1:72" s="322" customFormat="1" ht="13.7" customHeight="1">
      <c r="A22" s="35">
        <v>19</v>
      </c>
      <c r="B22" s="1183" t="s">
        <v>2380</v>
      </c>
      <c r="C22" s="1031">
        <v>5</v>
      </c>
      <c r="D22" s="1031" t="s">
        <v>2011</v>
      </c>
      <c r="E22" s="857" t="s">
        <v>2012</v>
      </c>
      <c r="F22" s="857">
        <v>8.43</v>
      </c>
      <c r="G22" s="1031" t="s">
        <v>2027</v>
      </c>
      <c r="H22" s="857">
        <v>8.9</v>
      </c>
      <c r="I22" s="857">
        <v>3000</v>
      </c>
      <c r="J22" s="279">
        <v>60</v>
      </c>
      <c r="K22" s="1031" t="s">
        <v>2435</v>
      </c>
      <c r="L22" s="1031">
        <v>10</v>
      </c>
      <c r="M22" s="1031" t="s">
        <v>1629</v>
      </c>
      <c r="N22" s="1031" t="s">
        <v>1314</v>
      </c>
      <c r="O22" s="857">
        <v>6.77</v>
      </c>
      <c r="P22" s="1031" t="s">
        <v>1755</v>
      </c>
      <c r="Q22" s="857">
        <v>6.96</v>
      </c>
      <c r="R22" s="857">
        <v>2600</v>
      </c>
      <c r="S22" s="279">
        <v>101</v>
      </c>
      <c r="T22" s="1031" t="s">
        <v>2413</v>
      </c>
      <c r="U22" s="1031">
        <v>15</v>
      </c>
      <c r="V22" s="1031" t="s">
        <v>867</v>
      </c>
      <c r="W22" s="1031" t="s">
        <v>868</v>
      </c>
      <c r="X22" s="857">
        <v>8.8000000000000007</v>
      </c>
      <c r="Y22" s="1031" t="s">
        <v>430</v>
      </c>
      <c r="Z22" s="857">
        <v>8.8000000000000007</v>
      </c>
      <c r="AA22" s="857">
        <v>131.25</v>
      </c>
      <c r="AB22" s="279">
        <v>142</v>
      </c>
      <c r="AC22" s="1031" t="s">
        <v>2414</v>
      </c>
      <c r="AD22" s="1031">
        <v>15</v>
      </c>
      <c r="AE22" s="1031" t="s">
        <v>1335</v>
      </c>
      <c r="AF22" s="1031" t="s">
        <v>1336</v>
      </c>
      <c r="AG22" s="857">
        <v>12.4</v>
      </c>
      <c r="AH22" s="1031" t="s">
        <v>430</v>
      </c>
      <c r="AI22" s="857">
        <v>12.4</v>
      </c>
      <c r="AJ22" s="1020">
        <v>200</v>
      </c>
      <c r="AK22" s="1361">
        <v>183</v>
      </c>
      <c r="AL22" s="1031" t="s">
        <v>2415</v>
      </c>
      <c r="AM22" s="1031">
        <v>20</v>
      </c>
      <c r="AN22" s="1031" t="s">
        <v>40</v>
      </c>
      <c r="AO22" s="1031" t="s">
        <v>51</v>
      </c>
      <c r="AP22" s="857">
        <v>13.04</v>
      </c>
      <c r="AQ22" s="1031" t="s">
        <v>430</v>
      </c>
      <c r="AR22" s="857">
        <v>13.04</v>
      </c>
      <c r="AS22" s="1020">
        <v>125</v>
      </c>
      <c r="AT22" s="279">
        <v>224</v>
      </c>
      <c r="AU22" s="1031" t="s">
        <v>2416</v>
      </c>
      <c r="AV22" s="1031">
        <v>20</v>
      </c>
      <c r="AW22" s="1031" t="s">
        <v>2417</v>
      </c>
      <c r="AX22" s="1031" t="s">
        <v>2418</v>
      </c>
      <c r="AY22" s="857">
        <v>12.12</v>
      </c>
      <c r="AZ22" s="1031" t="s">
        <v>430</v>
      </c>
      <c r="BA22" s="857">
        <v>12.12</v>
      </c>
      <c r="BB22" s="857">
        <v>300</v>
      </c>
      <c r="BC22" s="324"/>
      <c r="BD22" s="1015"/>
      <c r="BE22" s="1015"/>
      <c r="BF22" s="1031"/>
      <c r="BG22" s="1031"/>
      <c r="BH22" s="857"/>
      <c r="BI22" s="1031"/>
      <c r="BJ22" s="665"/>
      <c r="BK22" s="1020"/>
      <c r="BL22" s="279">
        <v>17</v>
      </c>
      <c r="BM22" s="1550" t="s">
        <v>2650</v>
      </c>
      <c r="BN22" s="1552">
        <v>14</v>
      </c>
      <c r="BO22" s="1209" t="s">
        <v>634</v>
      </c>
      <c r="BP22" s="1031" t="s">
        <v>497</v>
      </c>
      <c r="BQ22" s="319">
        <v>5</v>
      </c>
      <c r="BR22" s="324" t="s">
        <v>430</v>
      </c>
      <c r="BS22" s="325">
        <v>5</v>
      </c>
      <c r="BT22" s="665">
        <v>600</v>
      </c>
    </row>
    <row r="23" spans="1:72" s="211" customFormat="1" ht="13.7" customHeight="1">
      <c r="A23" s="370">
        <v>20</v>
      </c>
      <c r="B23" s="1185" t="s">
        <v>2383</v>
      </c>
      <c r="C23" s="1082">
        <v>5</v>
      </c>
      <c r="D23" s="1082" t="s">
        <v>2031</v>
      </c>
      <c r="E23" s="1157" t="s">
        <v>2032</v>
      </c>
      <c r="F23" s="1082">
        <v>8.9700000000000006</v>
      </c>
      <c r="G23" s="1082" t="s">
        <v>2384</v>
      </c>
      <c r="H23" s="1157">
        <v>8.1199999999999992</v>
      </c>
      <c r="I23" s="1157">
        <v>4500</v>
      </c>
      <c r="J23" s="953">
        <v>61</v>
      </c>
      <c r="K23" s="1082" t="s">
        <v>2443</v>
      </c>
      <c r="L23" s="1082">
        <v>10</v>
      </c>
      <c r="M23" s="1082" t="s">
        <v>1833</v>
      </c>
      <c r="N23" s="1082" t="s">
        <v>1834</v>
      </c>
      <c r="O23" s="1157">
        <v>7</v>
      </c>
      <c r="P23" s="1082" t="s">
        <v>1885</v>
      </c>
      <c r="Q23" s="1157">
        <v>7.11</v>
      </c>
      <c r="R23" s="1157">
        <v>2800</v>
      </c>
      <c r="S23" s="953">
        <v>102</v>
      </c>
      <c r="T23" s="1082" t="s">
        <v>2421</v>
      </c>
      <c r="U23" s="1082">
        <v>15</v>
      </c>
      <c r="V23" s="1082" t="s">
        <v>498</v>
      </c>
      <c r="W23" s="1082" t="s">
        <v>499</v>
      </c>
      <c r="X23" s="1157">
        <v>8.69</v>
      </c>
      <c r="Y23" s="1082" t="s">
        <v>430</v>
      </c>
      <c r="Z23" s="1157">
        <v>8.69</v>
      </c>
      <c r="AA23" s="1157">
        <v>150</v>
      </c>
      <c r="AB23" s="1364">
        <v>143</v>
      </c>
      <c r="AC23" s="1082" t="s">
        <v>2422</v>
      </c>
      <c r="AD23" s="1082">
        <v>15</v>
      </c>
      <c r="AE23" s="1082" t="s">
        <v>2185</v>
      </c>
      <c r="AF23" s="1082" t="s">
        <v>2423</v>
      </c>
      <c r="AG23" s="1157">
        <v>12.4</v>
      </c>
      <c r="AH23" s="1082" t="s">
        <v>430</v>
      </c>
      <c r="AI23" s="1157">
        <v>12.4</v>
      </c>
      <c r="AJ23" s="947">
        <v>150</v>
      </c>
      <c r="AK23" s="953">
        <v>184</v>
      </c>
      <c r="AL23" s="1082" t="s">
        <v>2424</v>
      </c>
      <c r="AM23" s="1082">
        <v>20</v>
      </c>
      <c r="AN23" s="1082" t="s">
        <v>41</v>
      </c>
      <c r="AO23" s="1082" t="s">
        <v>52</v>
      </c>
      <c r="AP23" s="1157">
        <v>13.019999999999998</v>
      </c>
      <c r="AQ23" s="1082" t="s">
        <v>430</v>
      </c>
      <c r="AR23" s="1157">
        <v>13.019999999999998</v>
      </c>
      <c r="AS23" s="1157">
        <v>125</v>
      </c>
      <c r="AT23" s="953">
        <v>225</v>
      </c>
      <c r="AU23" s="1082" t="s">
        <v>2425</v>
      </c>
      <c r="AV23" s="1082">
        <v>20</v>
      </c>
      <c r="AW23" s="1082" t="s">
        <v>2426</v>
      </c>
      <c r="AX23" s="1082" t="s">
        <v>2427</v>
      </c>
      <c r="AY23" s="1157">
        <v>12.16</v>
      </c>
      <c r="AZ23" s="1082" t="s">
        <v>430</v>
      </c>
      <c r="BA23" s="1157">
        <v>12.16</v>
      </c>
      <c r="BB23" s="1157">
        <v>300</v>
      </c>
      <c r="BC23" s="324"/>
      <c r="BL23" s="953">
        <v>18</v>
      </c>
      <c r="BM23" s="1551" t="s">
        <v>2651</v>
      </c>
      <c r="BN23" s="1557">
        <v>14</v>
      </c>
      <c r="BO23" s="1208" t="s">
        <v>634</v>
      </c>
      <c r="BP23" s="1082" t="s">
        <v>497</v>
      </c>
      <c r="BQ23" s="393">
        <v>5</v>
      </c>
      <c r="BR23" s="370" t="s">
        <v>430</v>
      </c>
      <c r="BS23" s="367">
        <v>5</v>
      </c>
      <c r="BT23" s="666">
        <v>300</v>
      </c>
    </row>
    <row r="24" spans="1:72" s="211" customFormat="1" ht="13.7" customHeight="1">
      <c r="A24" s="1461">
        <v>21</v>
      </c>
      <c r="B24" s="1183" t="s">
        <v>2391</v>
      </c>
      <c r="C24" s="1031">
        <v>5</v>
      </c>
      <c r="D24" s="1031" t="s">
        <v>2043</v>
      </c>
      <c r="E24" s="857" t="s">
        <v>2044</v>
      </c>
      <c r="F24" s="857">
        <v>8.86</v>
      </c>
      <c r="G24" s="1031" t="s">
        <v>2497</v>
      </c>
      <c r="H24" s="857">
        <v>5.69</v>
      </c>
      <c r="I24" s="857">
        <v>4000</v>
      </c>
      <c r="J24" s="279">
        <v>62</v>
      </c>
      <c r="K24" s="1031" t="s">
        <v>2451</v>
      </c>
      <c r="L24" s="1031">
        <v>10</v>
      </c>
      <c r="M24" s="1031" t="s">
        <v>1894</v>
      </c>
      <c r="N24" s="1031" t="s">
        <v>1895</v>
      </c>
      <c r="O24" s="857">
        <v>7.5</v>
      </c>
      <c r="P24" s="1031" t="s">
        <v>2003</v>
      </c>
      <c r="Q24" s="857">
        <v>7.6</v>
      </c>
      <c r="R24" s="857">
        <v>2800</v>
      </c>
      <c r="S24" s="1361">
        <v>103</v>
      </c>
      <c r="T24" s="1031" t="s">
        <v>2429</v>
      </c>
      <c r="U24" s="1031">
        <v>15</v>
      </c>
      <c r="V24" s="1031" t="s">
        <v>500</v>
      </c>
      <c r="W24" s="1031" t="s">
        <v>501</v>
      </c>
      <c r="X24" s="857">
        <v>8.69</v>
      </c>
      <c r="Y24" s="1031" t="s">
        <v>430</v>
      </c>
      <c r="Z24" s="857">
        <v>8.69</v>
      </c>
      <c r="AA24" s="857">
        <v>150</v>
      </c>
      <c r="AB24" s="279">
        <v>144</v>
      </c>
      <c r="AC24" s="1031" t="s">
        <v>2430</v>
      </c>
      <c r="AD24" s="1031">
        <v>15</v>
      </c>
      <c r="AE24" s="1031" t="s">
        <v>2194</v>
      </c>
      <c r="AF24" s="1031" t="s">
        <v>2431</v>
      </c>
      <c r="AG24" s="857">
        <v>12.4</v>
      </c>
      <c r="AH24" s="1031" t="s">
        <v>430</v>
      </c>
      <c r="AI24" s="857">
        <v>12.4</v>
      </c>
      <c r="AJ24" s="1020">
        <v>150</v>
      </c>
      <c r="AK24" s="279">
        <v>185</v>
      </c>
      <c r="AL24" s="1031" t="s">
        <v>2432</v>
      </c>
      <c r="AM24" s="1031">
        <v>20</v>
      </c>
      <c r="AN24" s="1031" t="s">
        <v>1</v>
      </c>
      <c r="AO24" s="1031" t="s">
        <v>43</v>
      </c>
      <c r="AP24" s="857">
        <v>13</v>
      </c>
      <c r="AQ24" s="1031" t="s">
        <v>430</v>
      </c>
      <c r="AR24" s="857">
        <v>13</v>
      </c>
      <c r="AS24" s="857">
        <v>125</v>
      </c>
      <c r="AT24" s="279">
        <v>226</v>
      </c>
      <c r="AU24" s="1031" t="s">
        <v>2433</v>
      </c>
      <c r="AV24" s="1031">
        <v>20</v>
      </c>
      <c r="AW24" s="1031" t="s">
        <v>2434</v>
      </c>
      <c r="AX24" s="1031" t="s">
        <v>1794</v>
      </c>
      <c r="AY24" s="857">
        <v>12.16</v>
      </c>
      <c r="AZ24" s="1031" t="s">
        <v>430</v>
      </c>
      <c r="BA24" s="857">
        <v>12.16</v>
      </c>
      <c r="BB24" s="857">
        <v>300</v>
      </c>
      <c r="BC24" s="324"/>
      <c r="BL24" s="279">
        <v>19</v>
      </c>
      <c r="BM24" s="1550" t="s">
        <v>2650</v>
      </c>
      <c r="BN24" s="1552">
        <v>15</v>
      </c>
      <c r="BO24" s="1209" t="s">
        <v>634</v>
      </c>
      <c r="BP24" s="1031" t="s">
        <v>2639</v>
      </c>
      <c r="BQ24" s="319">
        <v>5</v>
      </c>
      <c r="BR24" s="35" t="s">
        <v>430</v>
      </c>
      <c r="BS24" s="325">
        <v>5</v>
      </c>
      <c r="BT24" s="1015">
        <v>865.46</v>
      </c>
    </row>
    <row r="25" spans="1:72" s="211" customFormat="1" ht="13.7" customHeight="1" thickBot="1">
      <c r="A25" s="1365">
        <v>22</v>
      </c>
      <c r="B25" s="1185" t="s">
        <v>2398</v>
      </c>
      <c r="C25" s="1082">
        <v>5</v>
      </c>
      <c r="D25" s="1082" t="s">
        <v>2399</v>
      </c>
      <c r="E25" s="1082" t="s">
        <v>2400</v>
      </c>
      <c r="F25" s="1082">
        <v>8.1199999999999992</v>
      </c>
      <c r="G25" s="1082" t="s">
        <v>430</v>
      </c>
      <c r="H25" s="1157">
        <v>8.1199999999999992</v>
      </c>
      <c r="I25" s="1157">
        <v>4500</v>
      </c>
      <c r="J25" s="1364">
        <v>63</v>
      </c>
      <c r="K25" s="1082" t="s">
        <v>2458</v>
      </c>
      <c r="L25" s="1082">
        <v>10</v>
      </c>
      <c r="M25" s="1157" t="s">
        <v>1993</v>
      </c>
      <c r="N25" s="1157" t="s">
        <v>1994</v>
      </c>
      <c r="O25" s="1157">
        <v>7.15</v>
      </c>
      <c r="P25" s="1082" t="s">
        <v>2020</v>
      </c>
      <c r="Q25" s="1157">
        <v>8.89</v>
      </c>
      <c r="R25" s="1157">
        <v>3000</v>
      </c>
      <c r="S25" s="953">
        <v>104</v>
      </c>
      <c r="T25" s="1082" t="s">
        <v>2436</v>
      </c>
      <c r="U25" s="1082">
        <v>15</v>
      </c>
      <c r="V25" s="1082" t="s">
        <v>502</v>
      </c>
      <c r="W25" s="1082" t="s">
        <v>503</v>
      </c>
      <c r="X25" s="1157">
        <v>8.74</v>
      </c>
      <c r="Y25" s="1082" t="s">
        <v>430</v>
      </c>
      <c r="Z25" s="1157">
        <v>8.74</v>
      </c>
      <c r="AA25" s="1157">
        <v>100</v>
      </c>
      <c r="AB25" s="953">
        <v>145</v>
      </c>
      <c r="AC25" s="1082" t="s">
        <v>2437</v>
      </c>
      <c r="AD25" s="1082">
        <v>15</v>
      </c>
      <c r="AE25" s="1082" t="s">
        <v>2206</v>
      </c>
      <c r="AF25" s="1082" t="s">
        <v>2438</v>
      </c>
      <c r="AG25" s="1157">
        <v>12.42</v>
      </c>
      <c r="AH25" s="1082" t="s">
        <v>430</v>
      </c>
      <c r="AI25" s="1157">
        <v>12.42</v>
      </c>
      <c r="AJ25" s="1157">
        <v>150</v>
      </c>
      <c r="AK25" s="953">
        <v>186</v>
      </c>
      <c r="AL25" s="1082" t="s">
        <v>2439</v>
      </c>
      <c r="AM25" s="1082">
        <v>20</v>
      </c>
      <c r="AN25" s="1082" t="s">
        <v>2</v>
      </c>
      <c r="AO25" s="1082" t="s">
        <v>3</v>
      </c>
      <c r="AP25" s="1157">
        <v>12.990000000000002</v>
      </c>
      <c r="AQ25" s="1082" t="s">
        <v>430</v>
      </c>
      <c r="AR25" s="1157">
        <v>12.990000000000002</v>
      </c>
      <c r="AS25" s="1157">
        <v>125</v>
      </c>
      <c r="AT25" s="953">
        <v>227</v>
      </c>
      <c r="AU25" s="1082" t="s">
        <v>2440</v>
      </c>
      <c r="AV25" s="1082">
        <v>20</v>
      </c>
      <c r="AW25" s="1082" t="s">
        <v>2441</v>
      </c>
      <c r="AX25" s="1082" t="s">
        <v>2442</v>
      </c>
      <c r="AY25" s="1157">
        <v>12.16</v>
      </c>
      <c r="AZ25" s="1082" t="s">
        <v>430</v>
      </c>
      <c r="BA25" s="1157">
        <v>12.16</v>
      </c>
      <c r="BB25" s="1157">
        <v>100</v>
      </c>
      <c r="BC25" s="324"/>
      <c r="BL25" s="818">
        <v>20</v>
      </c>
      <c r="BM25" s="1187" t="s">
        <v>2651</v>
      </c>
      <c r="BN25" s="1370">
        <v>15</v>
      </c>
      <c r="BO25" s="1370" t="s">
        <v>634</v>
      </c>
      <c r="BP25" s="1558" t="s">
        <v>2639</v>
      </c>
      <c r="BQ25" s="1559">
        <v>5</v>
      </c>
      <c r="BR25" s="1560" t="s">
        <v>430</v>
      </c>
      <c r="BS25" s="590">
        <v>5</v>
      </c>
      <c r="BT25" s="1370">
        <v>57.08</v>
      </c>
    </row>
    <row r="26" spans="1:72" s="211" customFormat="1" ht="13.7" customHeight="1">
      <c r="A26" s="308">
        <v>23</v>
      </c>
      <c r="B26" s="1183" t="s">
        <v>2408</v>
      </c>
      <c r="C26" s="1031">
        <v>5</v>
      </c>
      <c r="D26" s="1031" t="s">
        <v>2103</v>
      </c>
      <c r="E26" s="1031" t="s">
        <v>2104</v>
      </c>
      <c r="F26" s="1031">
        <v>8.0500000000000007</v>
      </c>
      <c r="G26" s="1031" t="s">
        <v>1589</v>
      </c>
      <c r="H26" s="857">
        <v>4.05</v>
      </c>
      <c r="I26" s="857">
        <v>4500</v>
      </c>
      <c r="J26" s="279">
        <v>64</v>
      </c>
      <c r="K26" s="1031" t="s">
        <v>2465</v>
      </c>
      <c r="L26" s="1031">
        <v>10</v>
      </c>
      <c r="M26" s="857" t="s">
        <v>2004</v>
      </c>
      <c r="N26" s="857" t="s">
        <v>2005</v>
      </c>
      <c r="O26" s="857">
        <v>7.74</v>
      </c>
      <c r="P26" s="1031" t="s">
        <v>2028</v>
      </c>
      <c r="Q26" s="857">
        <v>9.0500000000000007</v>
      </c>
      <c r="R26" s="857">
        <v>2675</v>
      </c>
      <c r="S26" s="279">
        <v>105</v>
      </c>
      <c r="T26" s="1031" t="s">
        <v>2444</v>
      </c>
      <c r="U26" s="1031">
        <v>15</v>
      </c>
      <c r="V26" s="1031" t="s">
        <v>504</v>
      </c>
      <c r="W26" s="1031" t="s">
        <v>505</v>
      </c>
      <c r="X26" s="857">
        <v>8.74</v>
      </c>
      <c r="Y26" s="1031" t="s">
        <v>430</v>
      </c>
      <c r="Z26" s="857">
        <v>8.74</v>
      </c>
      <c r="AA26" s="857">
        <v>100</v>
      </c>
      <c r="AB26" s="279">
        <v>146</v>
      </c>
      <c r="AC26" s="1031" t="s">
        <v>2445</v>
      </c>
      <c r="AD26" s="1031">
        <v>15</v>
      </c>
      <c r="AE26" s="1031" t="s">
        <v>2216</v>
      </c>
      <c r="AF26" s="1031" t="s">
        <v>2446</v>
      </c>
      <c r="AG26" s="857">
        <v>12.42</v>
      </c>
      <c r="AH26" s="1031" t="s">
        <v>430</v>
      </c>
      <c r="AI26" s="857">
        <v>12.42</v>
      </c>
      <c r="AJ26" s="857">
        <v>150</v>
      </c>
      <c r="AK26" s="279">
        <v>187</v>
      </c>
      <c r="AL26" s="1031" t="s">
        <v>2447</v>
      </c>
      <c r="AM26" s="1031">
        <v>20</v>
      </c>
      <c r="AN26" s="857" t="s">
        <v>4</v>
      </c>
      <c r="AO26" s="1031" t="s">
        <v>5</v>
      </c>
      <c r="AP26" s="857">
        <v>12.98</v>
      </c>
      <c r="AQ26" s="1031" t="s">
        <v>430</v>
      </c>
      <c r="AR26" s="857">
        <v>12.98</v>
      </c>
      <c r="AS26" s="857">
        <v>150</v>
      </c>
      <c r="AT26" s="1361">
        <v>228</v>
      </c>
      <c r="AU26" s="1031" t="s">
        <v>2448</v>
      </c>
      <c r="AV26" s="1031">
        <v>20</v>
      </c>
      <c r="AW26" s="1031" t="s">
        <v>2449</v>
      </c>
      <c r="AX26" s="1031" t="s">
        <v>2450</v>
      </c>
      <c r="AY26" s="857">
        <v>12.18</v>
      </c>
      <c r="AZ26" s="1031" t="s">
        <v>430</v>
      </c>
      <c r="BA26" s="857">
        <v>12.18</v>
      </c>
      <c r="BB26" s="857">
        <v>100</v>
      </c>
      <c r="BC26" s="324"/>
      <c r="BL26" s="434"/>
    </row>
    <row r="27" spans="1:72" s="211" customFormat="1" ht="13.7" customHeight="1">
      <c r="A27" s="1366">
        <v>24</v>
      </c>
      <c r="B27" s="1185" t="s">
        <v>2419</v>
      </c>
      <c r="C27" s="1082">
        <v>5</v>
      </c>
      <c r="D27" s="1082" t="s">
        <v>2121</v>
      </c>
      <c r="E27" s="1082" t="s">
        <v>2122</v>
      </c>
      <c r="F27" s="1082">
        <v>7.19</v>
      </c>
      <c r="G27" s="1138" t="s">
        <v>1561</v>
      </c>
      <c r="H27" s="1138">
        <v>6.74</v>
      </c>
      <c r="I27" s="666">
        <v>4500</v>
      </c>
      <c r="J27" s="953">
        <v>65</v>
      </c>
      <c r="K27" s="1082" t="s">
        <v>2472</v>
      </c>
      <c r="L27" s="1082">
        <v>10</v>
      </c>
      <c r="M27" s="1082" t="s">
        <v>2013</v>
      </c>
      <c r="N27" s="1082" t="s">
        <v>2014</v>
      </c>
      <c r="O27" s="1157">
        <v>8.44</v>
      </c>
      <c r="P27" s="1082" t="s">
        <v>2020</v>
      </c>
      <c r="Q27" s="1157">
        <v>8.89</v>
      </c>
      <c r="R27" s="1157">
        <v>3000</v>
      </c>
      <c r="S27" s="953">
        <v>106</v>
      </c>
      <c r="T27" s="1082" t="s">
        <v>2452</v>
      </c>
      <c r="U27" s="1082">
        <v>15</v>
      </c>
      <c r="V27" s="1082" t="s">
        <v>506</v>
      </c>
      <c r="W27" s="1082" t="s">
        <v>507</v>
      </c>
      <c r="X27" s="1157">
        <v>8.75</v>
      </c>
      <c r="Y27" s="1082" t="s">
        <v>430</v>
      </c>
      <c r="Z27" s="1157">
        <v>8.75</v>
      </c>
      <c r="AA27" s="1157">
        <v>100</v>
      </c>
      <c r="AB27" s="953">
        <v>147</v>
      </c>
      <c r="AC27" s="1082" t="s">
        <v>2453</v>
      </c>
      <c r="AD27" s="1082">
        <v>15</v>
      </c>
      <c r="AE27" s="1082" t="s">
        <v>2229</v>
      </c>
      <c r="AF27" s="1082" t="s">
        <v>2596</v>
      </c>
      <c r="AG27" s="1157">
        <v>12.29</v>
      </c>
      <c r="AH27" s="1082" t="s">
        <v>430</v>
      </c>
      <c r="AI27" s="1157">
        <v>12.29</v>
      </c>
      <c r="AJ27" s="1157">
        <v>150</v>
      </c>
      <c r="AK27" s="953">
        <v>188</v>
      </c>
      <c r="AL27" s="1082" t="s">
        <v>2454</v>
      </c>
      <c r="AM27" s="1082">
        <v>20</v>
      </c>
      <c r="AN27" s="1157" t="s">
        <v>6</v>
      </c>
      <c r="AO27" s="1082" t="s">
        <v>7</v>
      </c>
      <c r="AP27" s="1157">
        <v>11.48</v>
      </c>
      <c r="AQ27" s="1082" t="s">
        <v>430</v>
      </c>
      <c r="AR27" s="1157">
        <v>11.48</v>
      </c>
      <c r="AS27" s="1157">
        <v>150</v>
      </c>
      <c r="AT27" s="953">
        <v>229</v>
      </c>
      <c r="AU27" s="1082" t="s">
        <v>2455</v>
      </c>
      <c r="AV27" s="1082">
        <v>20</v>
      </c>
      <c r="AW27" s="1082" t="s">
        <v>2456</v>
      </c>
      <c r="AX27" s="1082" t="s">
        <v>2457</v>
      </c>
      <c r="AY27" s="1157">
        <v>12.28</v>
      </c>
      <c r="AZ27" s="1082" t="s">
        <v>430</v>
      </c>
      <c r="BA27" s="1157">
        <v>12.28</v>
      </c>
      <c r="BB27" s="1157">
        <v>100</v>
      </c>
      <c r="BC27" s="324"/>
      <c r="BL27" s="434"/>
      <c r="BM27" s="211" t="s">
        <v>2697</v>
      </c>
    </row>
    <row r="28" spans="1:72" s="211" customFormat="1" ht="13.7" customHeight="1">
      <c r="A28" s="308">
        <v>25</v>
      </c>
      <c r="B28" s="1183" t="s">
        <v>2498</v>
      </c>
      <c r="C28" s="1031">
        <v>5</v>
      </c>
      <c r="D28" s="1031" t="s">
        <v>2499</v>
      </c>
      <c r="E28" s="857" t="s">
        <v>2500</v>
      </c>
      <c r="F28" s="1031">
        <v>4.3600000000000003</v>
      </c>
      <c r="G28" s="1031" t="s">
        <v>1588</v>
      </c>
      <c r="H28" s="857">
        <v>5</v>
      </c>
      <c r="I28" s="857">
        <v>4000</v>
      </c>
      <c r="J28" s="279">
        <v>66</v>
      </c>
      <c r="K28" s="1031" t="s">
        <v>2479</v>
      </c>
      <c r="L28" s="1031">
        <v>10</v>
      </c>
      <c r="M28" s="1031" t="s">
        <v>2024</v>
      </c>
      <c r="N28" s="1031" t="s">
        <v>2025</v>
      </c>
      <c r="O28" s="857">
        <v>9.27</v>
      </c>
      <c r="P28" s="1031" t="s">
        <v>2033</v>
      </c>
      <c r="Q28" s="857">
        <v>9.19</v>
      </c>
      <c r="R28" s="857">
        <v>4000</v>
      </c>
      <c r="S28" s="279">
        <v>107</v>
      </c>
      <c r="T28" s="1031" t="s">
        <v>2459</v>
      </c>
      <c r="U28" s="1031">
        <v>15</v>
      </c>
      <c r="V28" s="1031" t="s">
        <v>900</v>
      </c>
      <c r="W28" s="1031" t="s">
        <v>901</v>
      </c>
      <c r="X28" s="857">
        <v>8.77</v>
      </c>
      <c r="Y28" s="1031" t="s">
        <v>430</v>
      </c>
      <c r="Z28" s="857">
        <v>8.77</v>
      </c>
      <c r="AA28" s="857">
        <v>80</v>
      </c>
      <c r="AB28" s="279">
        <v>148</v>
      </c>
      <c r="AC28" s="1031" t="s">
        <v>2460</v>
      </c>
      <c r="AD28" s="1031">
        <v>15</v>
      </c>
      <c r="AE28" s="1031" t="s">
        <v>1368</v>
      </c>
      <c r="AF28" s="1031" t="s">
        <v>1369</v>
      </c>
      <c r="AG28" s="857">
        <v>12.29</v>
      </c>
      <c r="AH28" s="1031" t="s">
        <v>430</v>
      </c>
      <c r="AI28" s="857">
        <v>12.29</v>
      </c>
      <c r="AJ28" s="857">
        <v>150</v>
      </c>
      <c r="AK28" s="279">
        <v>189</v>
      </c>
      <c r="AL28" s="1031" t="s">
        <v>2461</v>
      </c>
      <c r="AM28" s="1031">
        <v>20</v>
      </c>
      <c r="AN28" s="857" t="s">
        <v>8</v>
      </c>
      <c r="AO28" s="1031" t="s">
        <v>9</v>
      </c>
      <c r="AP28" s="857">
        <v>11.09</v>
      </c>
      <c r="AQ28" s="1031" t="s">
        <v>430</v>
      </c>
      <c r="AR28" s="857">
        <v>11.09</v>
      </c>
      <c r="AS28" s="857">
        <v>133.19999999999999</v>
      </c>
      <c r="AT28" s="279">
        <v>230</v>
      </c>
      <c r="AU28" s="1031" t="s">
        <v>2462</v>
      </c>
      <c r="AV28" s="1031">
        <v>20</v>
      </c>
      <c r="AW28" s="1031" t="s">
        <v>2463</v>
      </c>
      <c r="AX28" s="1031" t="s">
        <v>2464</v>
      </c>
      <c r="AY28" s="857">
        <v>12.38</v>
      </c>
      <c r="AZ28" s="1031" t="s">
        <v>430</v>
      </c>
      <c r="BA28" s="857">
        <v>12.38</v>
      </c>
      <c r="BB28" s="857">
        <v>100</v>
      </c>
      <c r="BC28" s="324"/>
      <c r="BL28" s="434"/>
      <c r="BM28" s="1362" t="s">
        <v>2488</v>
      </c>
      <c r="BN28" s="1363"/>
      <c r="BO28" s="1362"/>
      <c r="BP28" s="433"/>
      <c r="BQ28" s="433"/>
    </row>
    <row r="29" spans="1:72" s="211" customFormat="1" ht="13.7" customHeight="1">
      <c r="A29" s="1366">
        <v>26</v>
      </c>
      <c r="B29" s="1185" t="s">
        <v>2539</v>
      </c>
      <c r="C29" s="1082">
        <v>5</v>
      </c>
      <c r="D29" s="1082" t="s">
        <v>1571</v>
      </c>
      <c r="E29" s="1082" t="s">
        <v>2540</v>
      </c>
      <c r="F29" s="1082">
        <v>4.6399999999999997</v>
      </c>
      <c r="G29" s="1082" t="s">
        <v>1590</v>
      </c>
      <c r="H29" s="1157">
        <v>4.25</v>
      </c>
      <c r="I29" s="1157">
        <v>4000</v>
      </c>
      <c r="J29" s="953">
        <v>67</v>
      </c>
      <c r="K29" s="1082" t="s">
        <v>2162</v>
      </c>
      <c r="L29" s="1082">
        <v>10</v>
      </c>
      <c r="M29" s="1082" t="s">
        <v>2034</v>
      </c>
      <c r="N29" s="1082" t="s">
        <v>2035</v>
      </c>
      <c r="O29" s="1157">
        <v>9.23</v>
      </c>
      <c r="P29" s="1082" t="s">
        <v>2163</v>
      </c>
      <c r="Q29" s="1157">
        <v>8.64</v>
      </c>
      <c r="R29" s="1157">
        <v>4000</v>
      </c>
      <c r="S29" s="953">
        <v>108</v>
      </c>
      <c r="T29" s="1082" t="s">
        <v>2466</v>
      </c>
      <c r="U29" s="1082">
        <v>15</v>
      </c>
      <c r="V29" s="1082" t="s">
        <v>902</v>
      </c>
      <c r="W29" s="1082" t="s">
        <v>903</v>
      </c>
      <c r="X29" s="1157">
        <v>8.8000000000000007</v>
      </c>
      <c r="Y29" s="1082" t="s">
        <v>430</v>
      </c>
      <c r="Z29" s="1157">
        <v>8.8000000000000007</v>
      </c>
      <c r="AA29" s="1157">
        <v>75</v>
      </c>
      <c r="AB29" s="953">
        <v>149</v>
      </c>
      <c r="AC29" s="1082" t="s">
        <v>2467</v>
      </c>
      <c r="AD29" s="1082">
        <v>15</v>
      </c>
      <c r="AE29" s="1082" t="s">
        <v>1372</v>
      </c>
      <c r="AF29" s="1082" t="s">
        <v>1374</v>
      </c>
      <c r="AG29" s="1157">
        <v>12.2</v>
      </c>
      <c r="AH29" s="1082" t="s">
        <v>430</v>
      </c>
      <c r="AI29" s="1157">
        <v>12.2</v>
      </c>
      <c r="AJ29" s="1157">
        <v>150</v>
      </c>
      <c r="AK29" s="953">
        <v>190</v>
      </c>
      <c r="AL29" s="1082" t="s">
        <v>2468</v>
      </c>
      <c r="AM29" s="1082">
        <v>20</v>
      </c>
      <c r="AN29" s="1082" t="s">
        <v>10</v>
      </c>
      <c r="AO29" s="1082" t="s">
        <v>11</v>
      </c>
      <c r="AP29" s="1157">
        <v>10.07</v>
      </c>
      <c r="AQ29" s="1082" t="s">
        <v>430</v>
      </c>
      <c r="AR29" s="1157">
        <v>10.07</v>
      </c>
      <c r="AS29" s="1157">
        <v>80</v>
      </c>
      <c r="AT29" s="953">
        <v>231</v>
      </c>
      <c r="AU29" s="1082" t="s">
        <v>2469</v>
      </c>
      <c r="AV29" s="1082">
        <v>20</v>
      </c>
      <c r="AW29" s="1082" t="s">
        <v>2470</v>
      </c>
      <c r="AX29" s="1082" t="s">
        <v>2471</v>
      </c>
      <c r="AY29" s="1157">
        <v>12.48</v>
      </c>
      <c r="AZ29" s="1082" t="s">
        <v>430</v>
      </c>
      <c r="BA29" s="1157">
        <v>12.48</v>
      </c>
      <c r="BB29" s="1157">
        <v>100</v>
      </c>
      <c r="BC29" s="435"/>
      <c r="BD29" s="1031"/>
      <c r="BE29" s="857"/>
      <c r="BF29" s="1031"/>
      <c r="BG29" s="435"/>
      <c r="BH29" s="435"/>
      <c r="BI29" s="435"/>
      <c r="BJ29" s="689"/>
      <c r="BK29" s="626"/>
      <c r="BL29" s="434"/>
      <c r="BM29" s="1362"/>
      <c r="BN29" s="1363"/>
      <c r="BO29" s="1362"/>
      <c r="BP29" s="433"/>
      <c r="BQ29" s="433"/>
    </row>
    <row r="30" spans="1:72" s="306" customFormat="1" ht="13.7" customHeight="1">
      <c r="A30" s="308">
        <v>27</v>
      </c>
      <c r="B30" s="1183" t="s">
        <v>2597</v>
      </c>
      <c r="C30" s="1031">
        <v>5</v>
      </c>
      <c r="D30" s="1031" t="s">
        <v>2598</v>
      </c>
      <c r="E30" s="1031" t="s">
        <v>2599</v>
      </c>
      <c r="F30" s="1031">
        <v>4.25</v>
      </c>
      <c r="G30" s="1031" t="s">
        <v>2629</v>
      </c>
      <c r="H30" s="857">
        <v>3.98</v>
      </c>
      <c r="I30" s="857">
        <f>2000+1500</f>
        <v>3500</v>
      </c>
      <c r="J30" s="279">
        <v>68</v>
      </c>
      <c r="K30" s="1031" t="s">
        <v>2171</v>
      </c>
      <c r="L30" s="1031">
        <v>10</v>
      </c>
      <c r="M30" s="1031" t="s">
        <v>2047</v>
      </c>
      <c r="N30" s="1031" t="s">
        <v>2048</v>
      </c>
      <c r="O30" s="857">
        <v>9.15</v>
      </c>
      <c r="P30" s="1031" t="s">
        <v>2501</v>
      </c>
      <c r="Q30" s="857">
        <v>6.64</v>
      </c>
      <c r="R30" s="857">
        <v>4000</v>
      </c>
      <c r="S30" s="279">
        <v>109</v>
      </c>
      <c r="T30" s="1031" t="s">
        <v>2473</v>
      </c>
      <c r="U30" s="1031">
        <v>15</v>
      </c>
      <c r="V30" s="1031" t="s">
        <v>904</v>
      </c>
      <c r="W30" s="1031" t="s">
        <v>905</v>
      </c>
      <c r="X30" s="857">
        <v>8.8000000000000007</v>
      </c>
      <c r="Y30" s="1031" t="s">
        <v>430</v>
      </c>
      <c r="Z30" s="857">
        <v>8.8000000000000007</v>
      </c>
      <c r="AA30" s="857">
        <v>75</v>
      </c>
      <c r="AB30" s="279">
        <v>150</v>
      </c>
      <c r="AC30" s="1031" t="s">
        <v>2474</v>
      </c>
      <c r="AD30" s="1031">
        <v>15</v>
      </c>
      <c r="AE30" s="1031" t="s">
        <v>1375</v>
      </c>
      <c r="AF30" s="1031" t="s">
        <v>1377</v>
      </c>
      <c r="AG30" s="857">
        <v>12.1</v>
      </c>
      <c r="AH30" s="1031" t="s">
        <v>430</v>
      </c>
      <c r="AI30" s="857">
        <v>12.1</v>
      </c>
      <c r="AJ30" s="857">
        <v>150</v>
      </c>
      <c r="AK30" s="279">
        <v>191</v>
      </c>
      <c r="AL30" s="1031" t="s">
        <v>2475</v>
      </c>
      <c r="AM30" s="1031">
        <v>20</v>
      </c>
      <c r="AN30" s="1031" t="s">
        <v>12</v>
      </c>
      <c r="AO30" s="1031" t="s">
        <v>13</v>
      </c>
      <c r="AP30" s="857">
        <v>8.9700000000000006</v>
      </c>
      <c r="AQ30" s="1031" t="s">
        <v>430</v>
      </c>
      <c r="AR30" s="857">
        <v>8.9700000000000006</v>
      </c>
      <c r="AS30" s="857">
        <v>125</v>
      </c>
      <c r="AT30" s="279">
        <v>232</v>
      </c>
      <c r="AU30" s="1031" t="s">
        <v>2476</v>
      </c>
      <c r="AV30" s="1031">
        <v>20</v>
      </c>
      <c r="AW30" s="1031" t="s">
        <v>2477</v>
      </c>
      <c r="AX30" s="1031" t="s">
        <v>2478</v>
      </c>
      <c r="AY30" s="857">
        <v>12.479999999999999</v>
      </c>
      <c r="AZ30" s="1031" t="s">
        <v>430</v>
      </c>
      <c r="BA30" s="857">
        <v>12.479999999999999</v>
      </c>
      <c r="BB30" s="857">
        <v>100</v>
      </c>
      <c r="BC30" s="435"/>
      <c r="BD30" s="1031"/>
      <c r="BE30" s="1031"/>
      <c r="BF30" s="1031"/>
      <c r="BG30" s="435"/>
      <c r="BH30" s="435"/>
      <c r="BI30" s="435"/>
      <c r="BJ30" s="689"/>
      <c r="BK30" s="626"/>
      <c r="BL30" s="434"/>
      <c r="BM30" s="1362"/>
      <c r="BN30" s="1363"/>
      <c r="BO30" s="1362"/>
      <c r="BP30" s="433"/>
      <c r="BQ30" s="433"/>
    </row>
    <row r="31" spans="1:72" s="306" customFormat="1" ht="13.7" customHeight="1">
      <c r="A31" s="1366">
        <v>28</v>
      </c>
      <c r="B31" s="1138" t="s">
        <v>2656</v>
      </c>
      <c r="C31" s="1138">
        <v>5</v>
      </c>
      <c r="D31" s="1138" t="s">
        <v>2657</v>
      </c>
      <c r="E31" s="1138" t="s">
        <v>2658</v>
      </c>
      <c r="F31" s="1138">
        <v>3.88</v>
      </c>
      <c r="G31" s="1138" t="s">
        <v>430</v>
      </c>
      <c r="H31" s="666">
        <v>3.88</v>
      </c>
      <c r="I31" s="947">
        <v>200</v>
      </c>
      <c r="J31" s="953">
        <v>69</v>
      </c>
      <c r="K31" s="1082" t="s">
        <v>2178</v>
      </c>
      <c r="L31" s="1082">
        <v>10</v>
      </c>
      <c r="M31" s="1082" t="s">
        <v>2179</v>
      </c>
      <c r="N31" s="1082" t="s">
        <v>2180</v>
      </c>
      <c r="O31" s="1157">
        <v>8.74</v>
      </c>
      <c r="P31" s="1082" t="s">
        <v>430</v>
      </c>
      <c r="Q31" s="1157">
        <v>8.74</v>
      </c>
      <c r="R31" s="1157">
        <v>4500</v>
      </c>
      <c r="S31" s="953">
        <v>110</v>
      </c>
      <c r="T31" s="1082" t="s">
        <v>2480</v>
      </c>
      <c r="U31" s="1082">
        <v>15</v>
      </c>
      <c r="V31" s="1082" t="s">
        <v>2481</v>
      </c>
      <c r="W31" s="1082" t="s">
        <v>2482</v>
      </c>
      <c r="X31" s="1157">
        <v>8.85</v>
      </c>
      <c r="Y31" s="1082" t="s">
        <v>430</v>
      </c>
      <c r="Z31" s="1157">
        <v>8.85</v>
      </c>
      <c r="AA31" s="1157">
        <v>140</v>
      </c>
      <c r="AB31" s="953">
        <v>151</v>
      </c>
      <c r="AC31" s="1157" t="s">
        <v>2483</v>
      </c>
      <c r="AD31" s="1082">
        <v>15</v>
      </c>
      <c r="AE31" s="1082" t="s">
        <v>1381</v>
      </c>
      <c r="AF31" s="1082" t="s">
        <v>1382</v>
      </c>
      <c r="AG31" s="1157">
        <v>12</v>
      </c>
      <c r="AH31" s="1082" t="s">
        <v>430</v>
      </c>
      <c r="AI31" s="1157">
        <v>12</v>
      </c>
      <c r="AJ31" s="1157">
        <v>350</v>
      </c>
      <c r="AK31" s="953">
        <v>192</v>
      </c>
      <c r="AL31" s="1082" t="s">
        <v>2484</v>
      </c>
      <c r="AM31" s="1082">
        <v>20</v>
      </c>
      <c r="AN31" s="1082" t="s">
        <v>14</v>
      </c>
      <c r="AO31" s="1082" t="s">
        <v>15</v>
      </c>
      <c r="AP31" s="1157">
        <v>8.59</v>
      </c>
      <c r="AQ31" s="1082" t="s">
        <v>430</v>
      </c>
      <c r="AR31" s="1157">
        <v>8.59</v>
      </c>
      <c r="AS31" s="1157">
        <v>3</v>
      </c>
      <c r="AT31" s="953">
        <v>233</v>
      </c>
      <c r="AU31" s="1082" t="s">
        <v>2485</v>
      </c>
      <c r="AV31" s="1082">
        <v>20</v>
      </c>
      <c r="AW31" s="1082" t="s">
        <v>2486</v>
      </c>
      <c r="AX31" s="1082" t="s">
        <v>2487</v>
      </c>
      <c r="AY31" s="1157">
        <v>12.479999999999999</v>
      </c>
      <c r="AZ31" s="1082" t="s">
        <v>430</v>
      </c>
      <c r="BA31" s="1157">
        <v>12.479999999999999</v>
      </c>
      <c r="BB31" s="1157">
        <v>100</v>
      </c>
      <c r="BC31" s="435"/>
      <c r="BD31" s="1031"/>
      <c r="BE31" s="1031"/>
      <c r="BF31" s="1031"/>
      <c r="BG31" s="435"/>
      <c r="BH31" s="435"/>
      <c r="BI31" s="435"/>
      <c r="BJ31" s="689"/>
      <c r="BK31" s="626"/>
      <c r="BL31" s="434"/>
      <c r="BM31" s="1362"/>
      <c r="BN31" s="1363"/>
      <c r="BO31" s="1362"/>
      <c r="BP31" s="433"/>
      <c r="BQ31" s="433"/>
    </row>
    <row r="32" spans="1:72" s="211" customFormat="1" ht="13.7" customHeight="1">
      <c r="A32" s="308">
        <v>29</v>
      </c>
      <c r="B32" s="1183" t="s">
        <v>2188</v>
      </c>
      <c r="C32" s="1031">
        <v>10</v>
      </c>
      <c r="D32" s="1031" t="s">
        <v>1068</v>
      </c>
      <c r="E32" s="1031" t="s">
        <v>1070</v>
      </c>
      <c r="F32" s="857">
        <v>9.4499999999999993</v>
      </c>
      <c r="G32" s="1031" t="s">
        <v>430</v>
      </c>
      <c r="H32" s="857">
        <v>9.4499999999999993</v>
      </c>
      <c r="I32" s="857">
        <v>300</v>
      </c>
      <c r="J32" s="279">
        <v>70</v>
      </c>
      <c r="K32" s="1031" t="s">
        <v>2189</v>
      </c>
      <c r="L32" s="1031">
        <v>10</v>
      </c>
      <c r="M32" s="1031" t="s">
        <v>2105</v>
      </c>
      <c r="N32" s="1031" t="s">
        <v>2106</v>
      </c>
      <c r="O32" s="857">
        <v>8.66</v>
      </c>
      <c r="P32" s="1031" t="s">
        <v>2568</v>
      </c>
      <c r="Q32" s="857">
        <v>5.75</v>
      </c>
      <c r="R32" s="857">
        <v>4500</v>
      </c>
      <c r="S32" s="279">
        <v>111</v>
      </c>
      <c r="T32" s="1031" t="s">
        <v>2164</v>
      </c>
      <c r="U32" s="1031">
        <v>15</v>
      </c>
      <c r="V32" s="1031" t="s">
        <v>906</v>
      </c>
      <c r="W32" s="1031" t="s">
        <v>907</v>
      </c>
      <c r="X32" s="857">
        <v>8.86</v>
      </c>
      <c r="Y32" s="1031" t="s">
        <v>430</v>
      </c>
      <c r="Z32" s="857">
        <v>8.86</v>
      </c>
      <c r="AA32" s="857">
        <v>140</v>
      </c>
      <c r="AB32" s="279">
        <v>152</v>
      </c>
      <c r="AC32" s="1031" t="s">
        <v>2165</v>
      </c>
      <c r="AD32" s="1031">
        <v>15</v>
      </c>
      <c r="AE32" s="1031" t="s">
        <v>1383</v>
      </c>
      <c r="AF32" s="1031" t="s">
        <v>1384</v>
      </c>
      <c r="AG32" s="857">
        <v>11.97</v>
      </c>
      <c r="AH32" s="1031" t="s">
        <v>430</v>
      </c>
      <c r="AI32" s="857">
        <v>11.97</v>
      </c>
      <c r="AJ32" s="857">
        <v>350</v>
      </c>
      <c r="AK32" s="279">
        <v>193</v>
      </c>
      <c r="AL32" s="1031" t="s">
        <v>2166</v>
      </c>
      <c r="AM32" s="1031">
        <v>20</v>
      </c>
      <c r="AN32" s="1031" t="s">
        <v>508</v>
      </c>
      <c r="AO32" s="1031" t="s">
        <v>509</v>
      </c>
      <c r="AP32" s="857">
        <v>9.1</v>
      </c>
      <c r="AQ32" s="1031" t="s">
        <v>430</v>
      </c>
      <c r="AR32" s="857">
        <v>9.1</v>
      </c>
      <c r="AS32" s="857">
        <v>125</v>
      </c>
      <c r="AT32" s="279">
        <v>234</v>
      </c>
      <c r="AU32" s="1031" t="s">
        <v>2167</v>
      </c>
      <c r="AV32" s="1031">
        <v>20</v>
      </c>
      <c r="AW32" s="1031" t="s">
        <v>2168</v>
      </c>
      <c r="AX32" s="1031" t="s">
        <v>2169</v>
      </c>
      <c r="AY32" s="857">
        <v>12.47</v>
      </c>
      <c r="AZ32" s="1031" t="s">
        <v>430</v>
      </c>
      <c r="BA32" s="857">
        <v>12.47</v>
      </c>
      <c r="BB32" s="857">
        <v>100</v>
      </c>
      <c r="BC32" s="435"/>
      <c r="BD32" s="1031"/>
      <c r="BE32" s="1031"/>
      <c r="BF32" s="1031"/>
      <c r="BG32" s="435"/>
      <c r="BH32" s="435"/>
      <c r="BI32" s="435"/>
      <c r="BJ32" s="689"/>
      <c r="BK32" s="626"/>
      <c r="BL32" s="434"/>
      <c r="BM32" s="1362"/>
      <c r="BN32" s="1363"/>
      <c r="BO32" s="1362"/>
      <c r="BP32" s="433"/>
      <c r="BQ32" s="433"/>
    </row>
    <row r="33" spans="1:69" s="211" customFormat="1" ht="13.7" customHeight="1">
      <c r="A33" s="1366">
        <v>30</v>
      </c>
      <c r="B33" s="1185" t="s">
        <v>2197</v>
      </c>
      <c r="C33" s="1082">
        <v>10</v>
      </c>
      <c r="D33" s="1082" t="s">
        <v>1069</v>
      </c>
      <c r="E33" s="1082" t="s">
        <v>1071</v>
      </c>
      <c r="F33" s="1157">
        <v>9.5</v>
      </c>
      <c r="G33" s="1082" t="s">
        <v>430</v>
      </c>
      <c r="H33" s="1157">
        <v>9.5</v>
      </c>
      <c r="I33" s="1157">
        <v>300</v>
      </c>
      <c r="J33" s="953">
        <v>71</v>
      </c>
      <c r="K33" s="1082" t="s">
        <v>2198</v>
      </c>
      <c r="L33" s="1082">
        <v>10</v>
      </c>
      <c r="M33" s="1082" t="s">
        <v>2123</v>
      </c>
      <c r="N33" s="1082" t="s">
        <v>2199</v>
      </c>
      <c r="O33" s="1157">
        <v>7.89</v>
      </c>
      <c r="P33" s="1082" t="s">
        <v>2136</v>
      </c>
      <c r="Q33" s="1157">
        <v>7.4</v>
      </c>
      <c r="R33" s="1157">
        <v>4000</v>
      </c>
      <c r="S33" s="953">
        <v>112</v>
      </c>
      <c r="T33" s="1082" t="s">
        <v>2172</v>
      </c>
      <c r="U33" s="1082">
        <v>15</v>
      </c>
      <c r="V33" s="1082" t="s">
        <v>908</v>
      </c>
      <c r="W33" s="1082" t="s">
        <v>909</v>
      </c>
      <c r="X33" s="1157">
        <v>8.92</v>
      </c>
      <c r="Y33" s="1082" t="s">
        <v>430</v>
      </c>
      <c r="Z33" s="1157">
        <v>8.92</v>
      </c>
      <c r="AA33" s="1157">
        <v>140</v>
      </c>
      <c r="AB33" s="953">
        <v>153</v>
      </c>
      <c r="AC33" s="1082" t="s">
        <v>2173</v>
      </c>
      <c r="AD33" s="1082">
        <v>15</v>
      </c>
      <c r="AE33" s="1082" t="s">
        <v>1388</v>
      </c>
      <c r="AF33" s="1082" t="s">
        <v>1392</v>
      </c>
      <c r="AG33" s="1157">
        <v>11.97</v>
      </c>
      <c r="AH33" s="1082" t="s">
        <v>430</v>
      </c>
      <c r="AI33" s="1157">
        <v>11.97</v>
      </c>
      <c r="AJ33" s="1157">
        <v>400</v>
      </c>
      <c r="AK33" s="953">
        <v>194</v>
      </c>
      <c r="AL33" s="1082" t="s">
        <v>2174</v>
      </c>
      <c r="AM33" s="1082">
        <v>20</v>
      </c>
      <c r="AN33" s="1082" t="s">
        <v>510</v>
      </c>
      <c r="AO33" s="1082" t="s">
        <v>511</v>
      </c>
      <c r="AP33" s="1157">
        <v>9.1</v>
      </c>
      <c r="AQ33" s="1082" t="s">
        <v>430</v>
      </c>
      <c r="AR33" s="1157">
        <v>9.1</v>
      </c>
      <c r="AS33" s="1157">
        <v>150</v>
      </c>
      <c r="AT33" s="953">
        <v>235</v>
      </c>
      <c r="AU33" s="1082" t="s">
        <v>2175</v>
      </c>
      <c r="AV33" s="1082">
        <v>20</v>
      </c>
      <c r="AW33" s="1082" t="s">
        <v>2176</v>
      </c>
      <c r="AX33" s="1082" t="s">
        <v>2177</v>
      </c>
      <c r="AY33" s="1157">
        <v>12.479999999999999</v>
      </c>
      <c r="AZ33" s="1082" t="s">
        <v>430</v>
      </c>
      <c r="BA33" s="1157">
        <v>12.479999999999999</v>
      </c>
      <c r="BB33" s="1157">
        <v>100</v>
      </c>
      <c r="BC33" s="435"/>
      <c r="BD33" s="1031"/>
      <c r="BE33" s="1031"/>
      <c r="BF33" s="1031"/>
      <c r="BG33" s="435"/>
      <c r="BH33" s="435"/>
      <c r="BI33" s="435"/>
      <c r="BJ33" s="689"/>
      <c r="BK33" s="626"/>
      <c r="BL33" s="434"/>
      <c r="BM33" s="1362"/>
      <c r="BN33" s="1363"/>
      <c r="BO33" s="1362"/>
      <c r="BP33" s="433"/>
      <c r="BQ33" s="433"/>
    </row>
    <row r="34" spans="1:69" s="211" customFormat="1" ht="13.7" customHeight="1">
      <c r="A34" s="308">
        <v>31</v>
      </c>
      <c r="B34" s="1183" t="s">
        <v>2209</v>
      </c>
      <c r="C34" s="1031">
        <v>10</v>
      </c>
      <c r="D34" s="1031" t="s">
        <v>1289</v>
      </c>
      <c r="E34" s="1031" t="s">
        <v>1290</v>
      </c>
      <c r="F34" s="1031">
        <v>9.5299999999999994</v>
      </c>
      <c r="G34" s="1031" t="s">
        <v>430</v>
      </c>
      <c r="H34" s="857">
        <v>9.5299999999999994</v>
      </c>
      <c r="I34" s="857">
        <v>300</v>
      </c>
      <c r="J34" s="279">
        <v>72</v>
      </c>
      <c r="K34" s="1015" t="s">
        <v>2502</v>
      </c>
      <c r="L34" s="1015">
        <v>10</v>
      </c>
      <c r="M34" s="1015" t="s">
        <v>2503</v>
      </c>
      <c r="N34" s="1015" t="s">
        <v>2569</v>
      </c>
      <c r="O34" s="1015">
        <v>5.63</v>
      </c>
      <c r="P34" s="1015" t="s">
        <v>2541</v>
      </c>
      <c r="Q34" s="665">
        <v>5.77</v>
      </c>
      <c r="R34" s="665">
        <v>4500</v>
      </c>
      <c r="S34" s="279">
        <v>113</v>
      </c>
      <c r="T34" s="1031" t="s">
        <v>2181</v>
      </c>
      <c r="U34" s="1031">
        <v>15</v>
      </c>
      <c r="V34" s="1031" t="s">
        <v>910</v>
      </c>
      <c r="W34" s="1031" t="s">
        <v>911</v>
      </c>
      <c r="X34" s="857">
        <v>8.9499999999999993</v>
      </c>
      <c r="Y34" s="1031" t="s">
        <v>430</v>
      </c>
      <c r="Z34" s="857">
        <v>8.9499999999999993</v>
      </c>
      <c r="AA34" s="857">
        <v>150</v>
      </c>
      <c r="AB34" s="279">
        <v>154</v>
      </c>
      <c r="AC34" s="1031" t="s">
        <v>2182</v>
      </c>
      <c r="AD34" s="1031">
        <v>15</v>
      </c>
      <c r="AE34" s="1031" t="s">
        <v>1391</v>
      </c>
      <c r="AF34" s="1031" t="s">
        <v>1393</v>
      </c>
      <c r="AG34" s="857">
        <v>11.97</v>
      </c>
      <c r="AH34" s="1031" t="s">
        <v>430</v>
      </c>
      <c r="AI34" s="857">
        <v>11.97</v>
      </c>
      <c r="AJ34" s="857">
        <v>400</v>
      </c>
      <c r="AK34" s="279">
        <v>195</v>
      </c>
      <c r="AL34" s="1031" t="s">
        <v>2183</v>
      </c>
      <c r="AM34" s="1031">
        <v>20</v>
      </c>
      <c r="AN34" s="857" t="s">
        <v>512</v>
      </c>
      <c r="AO34" s="1031" t="s">
        <v>513</v>
      </c>
      <c r="AP34" s="857">
        <v>9.11</v>
      </c>
      <c r="AQ34" s="1031" t="s">
        <v>430</v>
      </c>
      <c r="AR34" s="857">
        <v>9.11</v>
      </c>
      <c r="AS34" s="857">
        <v>100</v>
      </c>
      <c r="AT34" s="279">
        <v>236</v>
      </c>
      <c r="AU34" s="1031" t="s">
        <v>2184</v>
      </c>
      <c r="AV34" s="1031">
        <v>20</v>
      </c>
      <c r="AW34" s="1031" t="s">
        <v>2185</v>
      </c>
      <c r="AX34" s="1031" t="s">
        <v>2186</v>
      </c>
      <c r="AY34" s="857">
        <v>12.479999999999999</v>
      </c>
      <c r="AZ34" s="1031" t="s">
        <v>430</v>
      </c>
      <c r="BA34" s="857">
        <v>12.479999999999999</v>
      </c>
      <c r="BB34" s="857">
        <v>150</v>
      </c>
      <c r="BC34" s="435"/>
      <c r="BD34" s="1031"/>
      <c r="BE34" s="1031"/>
      <c r="BF34" s="1031"/>
      <c r="BG34" s="435"/>
      <c r="BH34" s="435"/>
      <c r="BI34" s="435"/>
      <c r="BJ34" s="689"/>
      <c r="BK34" s="626"/>
      <c r="BL34" s="434"/>
      <c r="BM34" s="1362"/>
      <c r="BN34" s="1363"/>
      <c r="BO34" s="1362"/>
      <c r="BP34" s="433"/>
      <c r="BQ34" s="433"/>
    </row>
    <row r="35" spans="1:69" s="211" customFormat="1" ht="13.7" customHeight="1">
      <c r="A35" s="1366">
        <v>32</v>
      </c>
      <c r="B35" s="1082" t="s">
        <v>2219</v>
      </c>
      <c r="C35" s="1082">
        <v>10</v>
      </c>
      <c r="D35" s="1082" t="s">
        <v>1291</v>
      </c>
      <c r="E35" s="1082" t="s">
        <v>1292</v>
      </c>
      <c r="F35" s="1157">
        <v>9.5500000000000007</v>
      </c>
      <c r="G35" s="1082" t="s">
        <v>430</v>
      </c>
      <c r="H35" s="1157">
        <v>9.5500000000000007</v>
      </c>
      <c r="I35" s="1157">
        <v>500</v>
      </c>
      <c r="J35" s="953">
        <v>73</v>
      </c>
      <c r="K35" s="1138" t="s">
        <v>2576</v>
      </c>
      <c r="L35" s="1138">
        <v>10</v>
      </c>
      <c r="M35" s="1138" t="s">
        <v>2577</v>
      </c>
      <c r="N35" s="1138" t="s">
        <v>2578</v>
      </c>
      <c r="O35" s="1138">
        <v>6.01</v>
      </c>
      <c r="P35" s="1138" t="s">
        <v>2611</v>
      </c>
      <c r="Q35" s="1138">
        <v>5.69</v>
      </c>
      <c r="R35" s="666">
        <v>3000</v>
      </c>
      <c r="S35" s="953">
        <v>114</v>
      </c>
      <c r="T35" s="1138" t="s">
        <v>2190</v>
      </c>
      <c r="U35" s="1062">
        <v>15</v>
      </c>
      <c r="V35" s="1138" t="s">
        <v>912</v>
      </c>
      <c r="W35" s="1138" t="s">
        <v>913</v>
      </c>
      <c r="X35" s="666">
        <v>9.0500000000000007</v>
      </c>
      <c r="Y35" s="1082" t="s">
        <v>430</v>
      </c>
      <c r="Z35" s="367">
        <v>9.0500000000000007</v>
      </c>
      <c r="AA35" s="666">
        <v>150</v>
      </c>
      <c r="AB35" s="953">
        <v>155</v>
      </c>
      <c r="AC35" s="1157" t="s">
        <v>2191</v>
      </c>
      <c r="AD35" s="1082">
        <v>15</v>
      </c>
      <c r="AE35" s="1082" t="s">
        <v>1407</v>
      </c>
      <c r="AF35" s="1082" t="s">
        <v>1408</v>
      </c>
      <c r="AG35" s="1157">
        <v>11.87</v>
      </c>
      <c r="AH35" s="1082" t="s">
        <v>430</v>
      </c>
      <c r="AI35" s="1157">
        <v>11.87</v>
      </c>
      <c r="AJ35" s="1157">
        <v>250</v>
      </c>
      <c r="AK35" s="953">
        <v>196</v>
      </c>
      <c r="AL35" s="1082" t="s">
        <v>2192</v>
      </c>
      <c r="AM35" s="1082">
        <v>20</v>
      </c>
      <c r="AN35" s="1082" t="s">
        <v>514</v>
      </c>
      <c r="AO35" s="1082" t="s">
        <v>515</v>
      </c>
      <c r="AP35" s="1157">
        <v>9.15</v>
      </c>
      <c r="AQ35" s="1082" t="s">
        <v>430</v>
      </c>
      <c r="AR35" s="1157">
        <v>9.15</v>
      </c>
      <c r="AS35" s="1157">
        <v>100</v>
      </c>
      <c r="AT35" s="953">
        <v>237</v>
      </c>
      <c r="AU35" s="1082" t="s">
        <v>2193</v>
      </c>
      <c r="AV35" s="1082">
        <v>20</v>
      </c>
      <c r="AW35" s="1082" t="s">
        <v>2194</v>
      </c>
      <c r="AX35" s="1082" t="s">
        <v>2195</v>
      </c>
      <c r="AY35" s="1157">
        <v>12.479999999999999</v>
      </c>
      <c r="AZ35" s="1082" t="s">
        <v>430</v>
      </c>
      <c r="BA35" s="1157">
        <v>12.479999999999999</v>
      </c>
      <c r="BB35" s="1157">
        <v>150</v>
      </c>
      <c r="BC35" s="435"/>
      <c r="BD35" s="1031"/>
      <c r="BE35" s="1031"/>
      <c r="BF35" s="1031"/>
      <c r="BG35" s="435"/>
      <c r="BH35" s="435"/>
      <c r="BI35" s="435"/>
      <c r="BJ35" s="689"/>
      <c r="BK35" s="626"/>
      <c r="BL35" s="434"/>
      <c r="BM35" s="1362"/>
      <c r="BN35" s="1363"/>
      <c r="BO35" s="1362"/>
      <c r="BP35" s="433"/>
      <c r="BQ35" s="433"/>
    </row>
    <row r="36" spans="1:69" s="211" customFormat="1" ht="13.7" customHeight="1">
      <c r="A36" s="279">
        <v>33</v>
      </c>
      <c r="B36" s="1015" t="s">
        <v>2234</v>
      </c>
      <c r="C36" s="1015">
        <v>10</v>
      </c>
      <c r="D36" s="1015" t="s">
        <v>1293</v>
      </c>
      <c r="E36" s="1015" t="s">
        <v>1294</v>
      </c>
      <c r="F36" s="1015">
        <v>9.5500000000000007</v>
      </c>
      <c r="G36" s="1015" t="s">
        <v>430</v>
      </c>
      <c r="H36" s="665">
        <v>9.5500000000000007</v>
      </c>
      <c r="I36" s="665">
        <v>500</v>
      </c>
      <c r="J36" s="279">
        <v>74</v>
      </c>
      <c r="K36" s="1031" t="s">
        <v>2630</v>
      </c>
      <c r="L36" s="1031">
        <v>10</v>
      </c>
      <c r="M36" s="1031" t="s">
        <v>2631</v>
      </c>
      <c r="N36" s="1031" t="s">
        <v>2632</v>
      </c>
      <c r="O36" s="857">
        <v>5.8</v>
      </c>
      <c r="P36" s="1031" t="s">
        <v>2659</v>
      </c>
      <c r="Q36" s="857">
        <v>5.38</v>
      </c>
      <c r="R36" s="857">
        <f>200+2500</f>
        <v>2700</v>
      </c>
      <c r="S36" s="279">
        <v>115</v>
      </c>
      <c r="T36" s="1015" t="s">
        <v>2200</v>
      </c>
      <c r="U36" s="1032">
        <v>15</v>
      </c>
      <c r="V36" s="1015" t="s">
        <v>914</v>
      </c>
      <c r="W36" s="1015" t="s">
        <v>915</v>
      </c>
      <c r="X36" s="665">
        <v>9.1199999999999992</v>
      </c>
      <c r="Y36" s="1031" t="s">
        <v>430</v>
      </c>
      <c r="Z36" s="325">
        <v>9.1199999999999992</v>
      </c>
      <c r="AA36" s="665">
        <v>150</v>
      </c>
      <c r="AB36" s="279">
        <v>156</v>
      </c>
      <c r="AC36" s="1031" t="s">
        <v>2201</v>
      </c>
      <c r="AD36" s="1031">
        <v>15</v>
      </c>
      <c r="AE36" s="1031" t="s">
        <v>1409</v>
      </c>
      <c r="AF36" s="1031" t="s">
        <v>1410</v>
      </c>
      <c r="AG36" s="857">
        <v>11.59</v>
      </c>
      <c r="AH36" s="1031" t="s">
        <v>430</v>
      </c>
      <c r="AI36" s="857">
        <v>11.59</v>
      </c>
      <c r="AJ36" s="857">
        <v>250</v>
      </c>
      <c r="AK36" s="279">
        <v>197</v>
      </c>
      <c r="AL36" s="1031" t="s">
        <v>2202</v>
      </c>
      <c r="AM36" s="1031">
        <v>20</v>
      </c>
      <c r="AN36" s="1031" t="s">
        <v>2203</v>
      </c>
      <c r="AO36" s="1031" t="s">
        <v>2204</v>
      </c>
      <c r="AP36" s="857">
        <v>9.17</v>
      </c>
      <c r="AQ36" s="1031" t="s">
        <v>430</v>
      </c>
      <c r="AR36" s="857">
        <v>9.17</v>
      </c>
      <c r="AS36" s="857">
        <v>80</v>
      </c>
      <c r="AT36" s="279">
        <v>238</v>
      </c>
      <c r="AU36" s="1031" t="s">
        <v>2205</v>
      </c>
      <c r="AV36" s="1031">
        <v>20</v>
      </c>
      <c r="AW36" s="1031" t="s">
        <v>2206</v>
      </c>
      <c r="AX36" s="1031" t="s">
        <v>2207</v>
      </c>
      <c r="AY36" s="857">
        <v>12.479999999999999</v>
      </c>
      <c r="AZ36" s="1031" t="s">
        <v>430</v>
      </c>
      <c r="BA36" s="857">
        <v>12.479999999999999</v>
      </c>
      <c r="BB36" s="857">
        <v>150</v>
      </c>
      <c r="BC36" s="435"/>
      <c r="BD36" s="1031"/>
      <c r="BE36" s="1031"/>
      <c r="BF36" s="1031"/>
      <c r="BG36" s="435"/>
      <c r="BH36" s="435"/>
      <c r="BI36" s="435"/>
      <c r="BJ36" s="689"/>
      <c r="BK36" s="626"/>
      <c r="BL36" s="434"/>
      <c r="BM36" s="1362"/>
      <c r="BN36" s="1363"/>
      <c r="BO36" s="1362"/>
      <c r="BP36" s="433"/>
      <c r="BQ36" s="433"/>
    </row>
    <row r="37" spans="1:69" s="211" customFormat="1" ht="13.7" customHeight="1">
      <c r="A37" s="953">
        <v>34</v>
      </c>
      <c r="B37" s="1138" t="s">
        <v>2242</v>
      </c>
      <c r="C37" s="1138">
        <v>10</v>
      </c>
      <c r="D37" s="1138" t="s">
        <v>1295</v>
      </c>
      <c r="E37" s="1138" t="s">
        <v>1296</v>
      </c>
      <c r="F37" s="1138">
        <v>9.5500000000000007</v>
      </c>
      <c r="G37" s="1138" t="s">
        <v>430</v>
      </c>
      <c r="H37" s="1138">
        <v>9.5500000000000007</v>
      </c>
      <c r="I37" s="666">
        <v>500</v>
      </c>
      <c r="J37" s="953">
        <v>75</v>
      </c>
      <c r="K37" s="1082" t="s">
        <v>2210</v>
      </c>
      <c r="L37" s="1082">
        <v>15</v>
      </c>
      <c r="M37" s="1082" t="s">
        <v>2211</v>
      </c>
      <c r="N37" s="1082" t="s">
        <v>632</v>
      </c>
      <c r="O37" s="1157">
        <v>14</v>
      </c>
      <c r="P37" s="1082" t="s">
        <v>430</v>
      </c>
      <c r="Q37" s="1157">
        <v>14</v>
      </c>
      <c r="R37" s="1157">
        <v>100</v>
      </c>
      <c r="S37" s="953">
        <v>116</v>
      </c>
      <c r="T37" s="1082" t="s">
        <v>2212</v>
      </c>
      <c r="U37" s="1082">
        <v>15</v>
      </c>
      <c r="V37" s="1440" t="s">
        <v>916</v>
      </c>
      <c r="W37" s="1082" t="s">
        <v>917</v>
      </c>
      <c r="X37" s="1157">
        <v>9.1199999999999992</v>
      </c>
      <c r="Y37" s="1082" t="s">
        <v>430</v>
      </c>
      <c r="Z37" s="1157">
        <v>9.1199999999999992</v>
      </c>
      <c r="AA37" s="1157">
        <v>200</v>
      </c>
      <c r="AB37" s="953">
        <v>157</v>
      </c>
      <c r="AC37" s="1082" t="s">
        <v>2213</v>
      </c>
      <c r="AD37" s="1082">
        <v>15</v>
      </c>
      <c r="AE37" s="1082" t="s">
        <v>1413</v>
      </c>
      <c r="AF37" s="1082" t="s">
        <v>1414</v>
      </c>
      <c r="AG37" s="1157">
        <v>11.5</v>
      </c>
      <c r="AH37" s="1082" t="s">
        <v>430</v>
      </c>
      <c r="AI37" s="1157">
        <v>11.5</v>
      </c>
      <c r="AJ37" s="1157">
        <v>250</v>
      </c>
      <c r="AK37" s="953">
        <v>198</v>
      </c>
      <c r="AL37" s="1082" t="s">
        <v>2214</v>
      </c>
      <c r="AM37" s="1082">
        <v>20</v>
      </c>
      <c r="AN37" s="1082" t="s">
        <v>920</v>
      </c>
      <c r="AO37" s="1082" t="s">
        <v>921</v>
      </c>
      <c r="AP37" s="1157">
        <v>9.1999999999999993</v>
      </c>
      <c r="AQ37" s="1082" t="s">
        <v>430</v>
      </c>
      <c r="AR37" s="1157">
        <v>9.1999999999999993</v>
      </c>
      <c r="AS37" s="1157">
        <v>75</v>
      </c>
      <c r="AT37" s="953">
        <v>239</v>
      </c>
      <c r="AU37" s="1138" t="s">
        <v>2215</v>
      </c>
      <c r="AV37" s="1138">
        <v>20</v>
      </c>
      <c r="AW37" s="1082" t="s">
        <v>2216</v>
      </c>
      <c r="AX37" s="1082" t="s">
        <v>2217</v>
      </c>
      <c r="AY37" s="1157">
        <v>12.479999999999999</v>
      </c>
      <c r="AZ37" s="1082" t="s">
        <v>430</v>
      </c>
      <c r="BA37" s="1157">
        <v>12.479999999999999</v>
      </c>
      <c r="BB37" s="1157">
        <v>150</v>
      </c>
      <c r="BC37" s="435"/>
      <c r="BD37" s="1031"/>
      <c r="BE37" s="1031"/>
      <c r="BF37" s="1031"/>
      <c r="BG37" s="435"/>
      <c r="BH37" s="435"/>
      <c r="BI37" s="435"/>
      <c r="BJ37" s="689"/>
      <c r="BK37" s="1367"/>
      <c r="BL37" s="434"/>
      <c r="BM37" s="1368"/>
      <c r="BN37" s="1363"/>
      <c r="BO37" s="1368"/>
      <c r="BP37" s="433"/>
      <c r="BQ37" s="433"/>
    </row>
    <row r="38" spans="1:69" s="211" customFormat="1" ht="13.7" customHeight="1">
      <c r="A38" s="279">
        <v>35</v>
      </c>
      <c r="B38" s="1031" t="s">
        <v>2250</v>
      </c>
      <c r="C38" s="1031">
        <v>10</v>
      </c>
      <c r="D38" s="1031" t="s">
        <v>1297</v>
      </c>
      <c r="E38" s="1031" t="s">
        <v>1298</v>
      </c>
      <c r="F38" s="857">
        <v>11.25</v>
      </c>
      <c r="G38" s="1031" t="s">
        <v>430</v>
      </c>
      <c r="H38" s="857">
        <v>11.25</v>
      </c>
      <c r="I38" s="857">
        <v>550</v>
      </c>
      <c r="J38" s="279">
        <v>76</v>
      </c>
      <c r="K38" s="1031" t="s">
        <v>2220</v>
      </c>
      <c r="L38" s="1031">
        <v>15</v>
      </c>
      <c r="M38" s="1031" t="s">
        <v>2221</v>
      </c>
      <c r="N38" s="1031" t="s">
        <v>2222</v>
      </c>
      <c r="O38" s="857">
        <v>13.97</v>
      </c>
      <c r="P38" s="1031" t="s">
        <v>430</v>
      </c>
      <c r="Q38" s="857">
        <v>13.97</v>
      </c>
      <c r="R38" s="857">
        <v>100</v>
      </c>
      <c r="S38" s="279">
        <v>117</v>
      </c>
      <c r="T38" s="1031" t="s">
        <v>2223</v>
      </c>
      <c r="U38" s="1031">
        <v>15</v>
      </c>
      <c r="V38" s="1031" t="s">
        <v>918</v>
      </c>
      <c r="W38" s="1031" t="s">
        <v>919</v>
      </c>
      <c r="X38" s="857">
        <v>9.1999999999999993</v>
      </c>
      <c r="Y38" s="1031" t="s">
        <v>430</v>
      </c>
      <c r="Z38" s="857">
        <v>9.1999999999999993</v>
      </c>
      <c r="AA38" s="857">
        <v>200</v>
      </c>
      <c r="AB38" s="279">
        <v>158</v>
      </c>
      <c r="AC38" s="1015" t="s">
        <v>2224</v>
      </c>
      <c r="AD38" s="1015">
        <v>15</v>
      </c>
      <c r="AE38" s="1015" t="s">
        <v>1428</v>
      </c>
      <c r="AF38" s="1015" t="s">
        <v>1429</v>
      </c>
      <c r="AG38" s="665">
        <v>11.42</v>
      </c>
      <c r="AH38" s="1015" t="s">
        <v>430</v>
      </c>
      <c r="AI38" s="665">
        <v>11.42</v>
      </c>
      <c r="AJ38" s="665">
        <v>250</v>
      </c>
      <c r="AK38" s="279">
        <v>199</v>
      </c>
      <c r="AL38" s="1031" t="s">
        <v>2225</v>
      </c>
      <c r="AM38" s="1031">
        <v>20</v>
      </c>
      <c r="AN38" s="1031" t="s">
        <v>2226</v>
      </c>
      <c r="AO38" s="1031" t="s">
        <v>2227</v>
      </c>
      <c r="AP38" s="857">
        <v>9.15</v>
      </c>
      <c r="AQ38" s="1031" t="s">
        <v>430</v>
      </c>
      <c r="AR38" s="857">
        <v>9.15</v>
      </c>
      <c r="AS38" s="857">
        <v>75</v>
      </c>
      <c r="AT38" s="279">
        <v>240</v>
      </c>
      <c r="AU38" s="1015" t="s">
        <v>2228</v>
      </c>
      <c r="AV38" s="1015">
        <v>20</v>
      </c>
      <c r="AW38" s="1031" t="s">
        <v>2229</v>
      </c>
      <c r="AX38" s="1031" t="s">
        <v>2230</v>
      </c>
      <c r="AY38" s="857">
        <v>12.33</v>
      </c>
      <c r="AZ38" s="1031" t="s">
        <v>430</v>
      </c>
      <c r="BA38" s="665">
        <v>12.33</v>
      </c>
      <c r="BB38" s="1020">
        <v>150</v>
      </c>
      <c r="BC38" s="435"/>
      <c r="BD38" s="1031"/>
      <c r="BE38" s="1031"/>
      <c r="BF38" s="1031"/>
      <c r="BG38" s="435"/>
      <c r="BH38" s="435"/>
      <c r="BI38" s="435"/>
      <c r="BJ38" s="689"/>
      <c r="BK38" s="1367"/>
      <c r="BL38" s="435"/>
      <c r="BM38" s="1368"/>
      <c r="BN38" s="1363"/>
      <c r="BO38" s="1368"/>
      <c r="BP38" s="433"/>
      <c r="BQ38" s="433"/>
    </row>
    <row r="39" spans="1:69" s="211" customFormat="1" ht="13.7" customHeight="1">
      <c r="A39" s="953">
        <v>36</v>
      </c>
      <c r="B39" s="1082" t="s">
        <v>2258</v>
      </c>
      <c r="C39" s="1082">
        <v>10</v>
      </c>
      <c r="D39" s="1082" t="s">
        <v>1299</v>
      </c>
      <c r="E39" s="1082" t="s">
        <v>1300</v>
      </c>
      <c r="F39" s="1157">
        <v>11.35</v>
      </c>
      <c r="G39" s="1082" t="s">
        <v>430</v>
      </c>
      <c r="H39" s="1157">
        <v>11.35</v>
      </c>
      <c r="I39" s="1157">
        <v>550</v>
      </c>
      <c r="J39" s="953">
        <v>77</v>
      </c>
      <c r="K39" s="1082" t="s">
        <v>2235</v>
      </c>
      <c r="L39" s="1082">
        <v>15</v>
      </c>
      <c r="M39" s="1082" t="s">
        <v>633</v>
      </c>
      <c r="N39" s="1082" t="s">
        <v>644</v>
      </c>
      <c r="O39" s="1157">
        <v>13.48</v>
      </c>
      <c r="P39" s="1082" t="s">
        <v>430</v>
      </c>
      <c r="Q39" s="1157">
        <v>13.48</v>
      </c>
      <c r="R39" s="1157">
        <v>100</v>
      </c>
      <c r="S39" s="953">
        <v>118</v>
      </c>
      <c r="T39" s="1082" t="s">
        <v>2236</v>
      </c>
      <c r="U39" s="1082">
        <v>15</v>
      </c>
      <c r="V39" s="1082" t="s">
        <v>939</v>
      </c>
      <c r="W39" s="1082" t="s">
        <v>940</v>
      </c>
      <c r="X39" s="1157">
        <v>9.3000000000000007</v>
      </c>
      <c r="Y39" s="1082" t="s">
        <v>430</v>
      </c>
      <c r="Z39" s="1157">
        <v>9.3000000000000007</v>
      </c>
      <c r="AA39" s="1157">
        <v>250</v>
      </c>
      <c r="AB39" s="953">
        <v>159</v>
      </c>
      <c r="AC39" s="1082" t="s">
        <v>2237</v>
      </c>
      <c r="AD39" s="1082">
        <v>15</v>
      </c>
      <c r="AE39" s="1082" t="s">
        <v>1430</v>
      </c>
      <c r="AF39" s="1082" t="s">
        <v>1431</v>
      </c>
      <c r="AG39" s="1157">
        <v>11.469999999999999</v>
      </c>
      <c r="AH39" s="1082" t="s">
        <v>2238</v>
      </c>
      <c r="AI39" s="1157">
        <v>11.4</v>
      </c>
      <c r="AJ39" s="1157">
        <v>680</v>
      </c>
      <c r="AK39" s="953">
        <v>200</v>
      </c>
      <c r="AL39" s="1082" t="s">
        <v>2239</v>
      </c>
      <c r="AM39" s="1082">
        <v>20</v>
      </c>
      <c r="AN39" s="1082" t="s">
        <v>922</v>
      </c>
      <c r="AO39" s="1082" t="s">
        <v>923</v>
      </c>
      <c r="AP39" s="1157">
        <v>9.1999999999999993</v>
      </c>
      <c r="AQ39" s="1082" t="s">
        <v>430</v>
      </c>
      <c r="AR39" s="1157">
        <v>9.1999999999999993</v>
      </c>
      <c r="AS39" s="1157">
        <v>125</v>
      </c>
      <c r="AT39" s="953">
        <v>241</v>
      </c>
      <c r="AU39" s="1138" t="s">
        <v>2240</v>
      </c>
      <c r="AV39" s="1138">
        <v>20</v>
      </c>
      <c r="AW39" s="1082" t="s">
        <v>1368</v>
      </c>
      <c r="AX39" s="1082" t="s">
        <v>1370</v>
      </c>
      <c r="AY39" s="1157">
        <v>12.33</v>
      </c>
      <c r="AZ39" s="1082" t="s">
        <v>430</v>
      </c>
      <c r="BA39" s="666">
        <v>12.33</v>
      </c>
      <c r="BB39" s="947">
        <v>150</v>
      </c>
      <c r="BC39" s="435"/>
      <c r="BD39" s="1031"/>
      <c r="BE39" s="1031"/>
      <c r="BF39" s="1031"/>
      <c r="BG39" s="435"/>
      <c r="BH39" s="435"/>
      <c r="BI39" s="435"/>
      <c r="BJ39" s="322"/>
      <c r="BK39" s="1369"/>
      <c r="BL39" s="435"/>
      <c r="BM39" s="1368"/>
      <c r="BN39" s="1363"/>
      <c r="BO39" s="1368"/>
      <c r="BP39" s="433"/>
      <c r="BQ39" s="433"/>
    </row>
    <row r="40" spans="1:69" s="211" customFormat="1" ht="13.7" customHeight="1">
      <c r="A40" s="279">
        <v>37</v>
      </c>
      <c r="B40" s="1031" t="s">
        <v>2264</v>
      </c>
      <c r="C40" s="1031">
        <v>10</v>
      </c>
      <c r="D40" s="1031" t="s">
        <v>1301</v>
      </c>
      <c r="E40" s="1031" t="s">
        <v>1302</v>
      </c>
      <c r="F40" s="857">
        <v>11.4</v>
      </c>
      <c r="G40" s="1031" t="s">
        <v>430</v>
      </c>
      <c r="H40" s="857">
        <v>11.4</v>
      </c>
      <c r="I40" s="857">
        <v>550</v>
      </c>
      <c r="J40" s="279">
        <v>78</v>
      </c>
      <c r="K40" s="1156" t="s">
        <v>2243</v>
      </c>
      <c r="L40" s="1015">
        <v>15</v>
      </c>
      <c r="M40" s="1015" t="s">
        <v>2244</v>
      </c>
      <c r="N40" s="1015" t="s">
        <v>1247</v>
      </c>
      <c r="O40" s="1020">
        <v>13.2</v>
      </c>
      <c r="P40" s="1015" t="s">
        <v>430</v>
      </c>
      <c r="Q40" s="665">
        <v>13.2</v>
      </c>
      <c r="R40" s="665">
        <v>100</v>
      </c>
      <c r="S40" s="279">
        <v>119</v>
      </c>
      <c r="T40" s="1031" t="s">
        <v>2245</v>
      </c>
      <c r="U40" s="1031">
        <v>15</v>
      </c>
      <c r="V40" s="1031" t="s">
        <v>1303</v>
      </c>
      <c r="W40" s="1031" t="s">
        <v>1304</v>
      </c>
      <c r="X40" s="857">
        <v>9.35</v>
      </c>
      <c r="Y40" s="1031" t="s">
        <v>430</v>
      </c>
      <c r="Z40" s="857">
        <v>9.35</v>
      </c>
      <c r="AA40" s="857">
        <v>250</v>
      </c>
      <c r="AB40" s="279">
        <v>160</v>
      </c>
      <c r="AC40" s="1031" t="s">
        <v>2246</v>
      </c>
      <c r="AD40" s="1031">
        <v>15</v>
      </c>
      <c r="AE40" s="1031" t="s">
        <v>1562</v>
      </c>
      <c r="AF40" s="1031" t="s">
        <v>923</v>
      </c>
      <c r="AG40" s="857">
        <v>10.059999999999999</v>
      </c>
      <c r="AH40" s="1031" t="s">
        <v>2049</v>
      </c>
      <c r="AI40" s="857">
        <v>9.09</v>
      </c>
      <c r="AJ40" s="857">
        <v>3000</v>
      </c>
      <c r="AK40" s="279">
        <v>201</v>
      </c>
      <c r="AL40" s="1031" t="s">
        <v>2247</v>
      </c>
      <c r="AM40" s="1031">
        <v>20</v>
      </c>
      <c r="AN40" s="1031" t="s">
        <v>924</v>
      </c>
      <c r="AO40" s="1031" t="s">
        <v>925</v>
      </c>
      <c r="AP40" s="857">
        <v>9.23</v>
      </c>
      <c r="AQ40" s="1031" t="s">
        <v>430</v>
      </c>
      <c r="AR40" s="857">
        <v>9.23</v>
      </c>
      <c r="AS40" s="857">
        <v>125</v>
      </c>
      <c r="AT40" s="279">
        <v>242</v>
      </c>
      <c r="AU40" s="1353" t="s">
        <v>2248</v>
      </c>
      <c r="AV40" s="1353">
        <v>20</v>
      </c>
      <c r="AW40" s="1031" t="s">
        <v>1372</v>
      </c>
      <c r="AX40" s="1031" t="s">
        <v>1373</v>
      </c>
      <c r="AY40" s="857">
        <v>12.26</v>
      </c>
      <c r="AZ40" s="1031" t="s">
        <v>430</v>
      </c>
      <c r="BA40" s="665">
        <v>12.26</v>
      </c>
      <c r="BB40" s="1020">
        <v>150</v>
      </c>
      <c r="BC40" s="435"/>
      <c r="BD40" s="1031"/>
      <c r="BE40" s="1031"/>
      <c r="BF40" s="1031"/>
      <c r="BG40" s="435"/>
      <c r="BH40" s="435"/>
      <c r="BI40" s="435"/>
      <c r="BJ40" s="322"/>
      <c r="BK40" s="1369"/>
      <c r="BL40" s="435"/>
      <c r="BM40" s="1368"/>
      <c r="BN40" s="1363"/>
      <c r="BO40" s="1368"/>
      <c r="BP40" s="433"/>
      <c r="BQ40" s="433"/>
    </row>
    <row r="41" spans="1:69" s="211" customFormat="1" ht="13.7" customHeight="1">
      <c r="A41" s="953">
        <v>38</v>
      </c>
      <c r="B41" s="1082" t="s">
        <v>2271</v>
      </c>
      <c r="C41" s="1082">
        <v>10</v>
      </c>
      <c r="D41" s="1157" t="s">
        <v>1236</v>
      </c>
      <c r="E41" s="1157" t="s">
        <v>1238</v>
      </c>
      <c r="F41" s="1157">
        <v>11.5</v>
      </c>
      <c r="G41" s="1082" t="s">
        <v>430</v>
      </c>
      <c r="H41" s="1157">
        <v>11.5</v>
      </c>
      <c r="I41" s="1157">
        <v>700</v>
      </c>
      <c r="J41" s="953">
        <v>79</v>
      </c>
      <c r="K41" s="1138" t="s">
        <v>2251</v>
      </c>
      <c r="L41" s="366">
        <v>15</v>
      </c>
      <c r="M41" s="1138" t="s">
        <v>642</v>
      </c>
      <c r="N41" s="1138" t="s">
        <v>645</v>
      </c>
      <c r="O41" s="947">
        <v>12.94</v>
      </c>
      <c r="P41" s="366" t="s">
        <v>430</v>
      </c>
      <c r="Q41" s="666">
        <v>12.94</v>
      </c>
      <c r="R41" s="367">
        <v>100</v>
      </c>
      <c r="S41" s="953">
        <v>120</v>
      </c>
      <c r="T41" s="1082" t="s">
        <v>2252</v>
      </c>
      <c r="U41" s="1082">
        <v>15</v>
      </c>
      <c r="V41" s="1082" t="s">
        <v>1305</v>
      </c>
      <c r="W41" s="1082" t="s">
        <v>1306</v>
      </c>
      <c r="X41" s="1157">
        <v>9.35</v>
      </c>
      <c r="Y41" s="1082" t="s">
        <v>430</v>
      </c>
      <c r="Z41" s="1157">
        <v>9.35</v>
      </c>
      <c r="AA41" s="1157">
        <v>250</v>
      </c>
      <c r="AB41" s="366">
        <v>161</v>
      </c>
      <c r="AC41" s="1082" t="s">
        <v>2253</v>
      </c>
      <c r="AD41" s="1082">
        <v>15</v>
      </c>
      <c r="AE41" s="1082" t="s">
        <v>1565</v>
      </c>
      <c r="AF41" s="1082" t="s">
        <v>1566</v>
      </c>
      <c r="AG41" s="1157">
        <v>8.44</v>
      </c>
      <c r="AH41" s="1082" t="s">
        <v>1882</v>
      </c>
      <c r="AI41" s="1157">
        <v>7.99</v>
      </c>
      <c r="AJ41" s="1157">
        <v>3000</v>
      </c>
      <c r="AK41" s="953">
        <v>202</v>
      </c>
      <c r="AL41" s="1082" t="s">
        <v>2254</v>
      </c>
      <c r="AM41" s="1082">
        <v>20</v>
      </c>
      <c r="AN41" s="1157" t="s">
        <v>926</v>
      </c>
      <c r="AO41" s="1082" t="s">
        <v>927</v>
      </c>
      <c r="AP41" s="1157">
        <v>9.25</v>
      </c>
      <c r="AQ41" s="1082" t="s">
        <v>430</v>
      </c>
      <c r="AR41" s="1157">
        <v>9.25</v>
      </c>
      <c r="AS41" s="1157">
        <v>125</v>
      </c>
      <c r="AT41" s="953">
        <v>243</v>
      </c>
      <c r="AU41" s="1138" t="s">
        <v>2255</v>
      </c>
      <c r="AV41" s="1138">
        <v>20</v>
      </c>
      <c r="AW41" s="1082" t="s">
        <v>1375</v>
      </c>
      <c r="AX41" s="1082" t="s">
        <v>1376</v>
      </c>
      <c r="AY41" s="1157">
        <v>12.24</v>
      </c>
      <c r="AZ41" s="1082" t="s">
        <v>430</v>
      </c>
      <c r="BA41" s="666">
        <v>12.24</v>
      </c>
      <c r="BB41" s="947">
        <v>150</v>
      </c>
      <c r="BC41" s="435"/>
      <c r="BD41" s="1031"/>
      <c r="BE41" s="1031"/>
      <c r="BF41" s="1031"/>
      <c r="BG41" s="435"/>
      <c r="BH41" s="435"/>
      <c r="BI41" s="435"/>
      <c r="BJ41" s="322"/>
      <c r="BK41" s="1369"/>
      <c r="BL41" s="435"/>
      <c r="BM41" s="1368"/>
      <c r="BN41" s="1363"/>
      <c r="BO41" s="1368"/>
      <c r="BP41" s="1031"/>
      <c r="BQ41" s="1031"/>
    </row>
    <row r="42" spans="1:69" s="211" customFormat="1" ht="13.7" customHeight="1">
      <c r="A42" s="279">
        <v>39</v>
      </c>
      <c r="B42" s="1031" t="s">
        <v>2280</v>
      </c>
      <c r="C42" s="1031">
        <v>10</v>
      </c>
      <c r="D42" s="1031" t="s">
        <v>1237</v>
      </c>
      <c r="E42" s="1031" t="s">
        <v>1239</v>
      </c>
      <c r="F42" s="857">
        <v>11.56</v>
      </c>
      <c r="G42" s="1031" t="s">
        <v>430</v>
      </c>
      <c r="H42" s="857">
        <v>11.56</v>
      </c>
      <c r="I42" s="857">
        <v>700</v>
      </c>
      <c r="J42" s="279">
        <v>80</v>
      </c>
      <c r="K42" s="1031" t="s">
        <v>2259</v>
      </c>
      <c r="L42" s="1031">
        <v>15</v>
      </c>
      <c r="M42" s="1031" t="s">
        <v>643</v>
      </c>
      <c r="N42" s="1031" t="s">
        <v>646</v>
      </c>
      <c r="O42" s="857">
        <v>12.89</v>
      </c>
      <c r="P42" s="1031" t="s">
        <v>430</v>
      </c>
      <c r="Q42" s="857">
        <v>12.89</v>
      </c>
      <c r="R42" s="857">
        <v>100</v>
      </c>
      <c r="S42" s="279">
        <v>121</v>
      </c>
      <c r="T42" s="857" t="s">
        <v>2260</v>
      </c>
      <c r="U42" s="1031">
        <v>15</v>
      </c>
      <c r="V42" s="1031" t="s">
        <v>1307</v>
      </c>
      <c r="W42" s="1031" t="s">
        <v>1308</v>
      </c>
      <c r="X42" s="857">
        <v>9.65</v>
      </c>
      <c r="Y42" s="1031" t="s">
        <v>430</v>
      </c>
      <c r="Z42" s="857">
        <v>9.65</v>
      </c>
      <c r="AA42" s="857">
        <v>150</v>
      </c>
      <c r="AB42" s="324">
        <v>162</v>
      </c>
      <c r="AC42" s="1031" t="s">
        <v>2261</v>
      </c>
      <c r="AD42" s="1031">
        <v>15</v>
      </c>
      <c r="AE42" s="857" t="s">
        <v>1592</v>
      </c>
      <c r="AF42" s="1031" t="s">
        <v>942</v>
      </c>
      <c r="AG42" s="857">
        <v>7.79</v>
      </c>
      <c r="AH42" s="1031" t="s">
        <v>1886</v>
      </c>
      <c r="AI42" s="857">
        <v>7.52</v>
      </c>
      <c r="AJ42" s="857">
        <v>2850</v>
      </c>
      <c r="AK42" s="279">
        <v>203</v>
      </c>
      <c r="AL42" s="1031" t="s">
        <v>2262</v>
      </c>
      <c r="AM42" s="1031">
        <v>20</v>
      </c>
      <c r="AN42" s="1031" t="s">
        <v>928</v>
      </c>
      <c r="AO42" s="1031" t="s">
        <v>929</v>
      </c>
      <c r="AP42" s="857">
        <v>9.25</v>
      </c>
      <c r="AQ42" s="1031" t="s">
        <v>430</v>
      </c>
      <c r="AR42" s="857">
        <v>9.25</v>
      </c>
      <c r="AS42" s="857">
        <v>125</v>
      </c>
      <c r="AT42" s="279">
        <v>244</v>
      </c>
      <c r="AU42" s="1015" t="s">
        <v>2263</v>
      </c>
      <c r="AV42" s="1015">
        <v>20</v>
      </c>
      <c r="AW42" s="1031" t="s">
        <v>1381</v>
      </c>
      <c r="AX42" s="1031" t="s">
        <v>1385</v>
      </c>
      <c r="AY42" s="857">
        <v>12.139999999999999</v>
      </c>
      <c r="AZ42" s="1031" t="s">
        <v>430</v>
      </c>
      <c r="BA42" s="665">
        <v>12.139999999999999</v>
      </c>
      <c r="BB42" s="1020">
        <v>300</v>
      </c>
      <c r="BC42" s="435"/>
      <c r="BD42" s="1031"/>
      <c r="BE42" s="1031"/>
      <c r="BF42" s="1031"/>
      <c r="BG42" s="435"/>
      <c r="BH42" s="435"/>
      <c r="BI42" s="435"/>
      <c r="BJ42" s="322"/>
      <c r="BK42" s="626"/>
      <c r="BL42" s="435"/>
      <c r="BM42" s="1368"/>
      <c r="BN42" s="1363"/>
      <c r="BO42" s="1368"/>
      <c r="BP42" s="1031"/>
      <c r="BQ42" s="1031"/>
    </row>
    <row r="43" spans="1:69" s="211" customFormat="1" ht="13.7" customHeight="1" thickBot="1">
      <c r="A43" s="818">
        <v>40</v>
      </c>
      <c r="B43" s="1359" t="s">
        <v>2290</v>
      </c>
      <c r="C43" s="1359">
        <v>10</v>
      </c>
      <c r="D43" s="1359" t="s">
        <v>1240</v>
      </c>
      <c r="E43" s="1359" t="s">
        <v>1241</v>
      </c>
      <c r="F43" s="1360">
        <v>11.6</v>
      </c>
      <c r="G43" s="1359" t="s">
        <v>430</v>
      </c>
      <c r="H43" s="1360">
        <v>11.6</v>
      </c>
      <c r="I43" s="1360">
        <v>700</v>
      </c>
      <c r="J43" s="1059">
        <v>81</v>
      </c>
      <c r="K43" s="1359" t="s">
        <v>2265</v>
      </c>
      <c r="L43" s="1359">
        <v>15</v>
      </c>
      <c r="M43" s="1359" t="s">
        <v>436</v>
      </c>
      <c r="N43" s="1359" t="s">
        <v>444</v>
      </c>
      <c r="O43" s="1360">
        <v>12.22</v>
      </c>
      <c r="P43" s="1359" t="s">
        <v>430</v>
      </c>
      <c r="Q43" s="1360">
        <v>12.22</v>
      </c>
      <c r="R43" s="1360">
        <v>100</v>
      </c>
      <c r="S43" s="818">
        <v>122</v>
      </c>
      <c r="T43" s="1360" t="s">
        <v>2266</v>
      </c>
      <c r="U43" s="1359">
        <v>15</v>
      </c>
      <c r="V43" s="1359" t="s">
        <v>1309</v>
      </c>
      <c r="W43" s="1359" t="s">
        <v>1310</v>
      </c>
      <c r="X43" s="1360">
        <v>10.3</v>
      </c>
      <c r="Y43" s="1359" t="s">
        <v>430</v>
      </c>
      <c r="Z43" s="1360">
        <v>10.3</v>
      </c>
      <c r="AA43" s="1360">
        <v>150</v>
      </c>
      <c r="AB43" s="1059">
        <v>163</v>
      </c>
      <c r="AC43" s="1359" t="s">
        <v>2267</v>
      </c>
      <c r="AD43" s="1359">
        <v>15</v>
      </c>
      <c r="AE43" s="1360" t="s">
        <v>1937</v>
      </c>
      <c r="AF43" s="1359" t="s">
        <v>1938</v>
      </c>
      <c r="AG43" s="1360">
        <v>7.1999999999999993</v>
      </c>
      <c r="AH43" s="1359" t="s">
        <v>2036</v>
      </c>
      <c r="AI43" s="1360">
        <v>9.33</v>
      </c>
      <c r="AJ43" s="1360">
        <v>4500</v>
      </c>
      <c r="AK43" s="818">
        <v>204</v>
      </c>
      <c r="AL43" s="1359" t="s">
        <v>2268</v>
      </c>
      <c r="AM43" s="1359">
        <v>20</v>
      </c>
      <c r="AN43" s="1359" t="s">
        <v>930</v>
      </c>
      <c r="AO43" s="1359" t="s">
        <v>931</v>
      </c>
      <c r="AP43" s="1360">
        <v>9.4499999999999993</v>
      </c>
      <c r="AQ43" s="1359" t="s">
        <v>430</v>
      </c>
      <c r="AR43" s="1360">
        <v>9.4499999999999993</v>
      </c>
      <c r="AS43" s="1360">
        <v>125</v>
      </c>
      <c r="AT43" s="818">
        <v>245</v>
      </c>
      <c r="AU43" s="1370" t="s">
        <v>2269</v>
      </c>
      <c r="AV43" s="1370">
        <v>20</v>
      </c>
      <c r="AW43" s="1359" t="s">
        <v>1383</v>
      </c>
      <c r="AX43" s="1359" t="s">
        <v>1386</v>
      </c>
      <c r="AY43" s="1360">
        <v>12.139999999999999</v>
      </c>
      <c r="AZ43" s="1359" t="s">
        <v>430</v>
      </c>
      <c r="BA43" s="1371">
        <v>12.139999999999999</v>
      </c>
      <c r="BB43" s="1375">
        <v>300</v>
      </c>
      <c r="BC43" s="435"/>
      <c r="BD43" s="1031"/>
      <c r="BE43" s="1031"/>
      <c r="BF43" s="1031"/>
      <c r="BG43" s="435"/>
      <c r="BH43" s="435"/>
      <c r="BI43" s="435"/>
      <c r="BJ43" s="322"/>
      <c r="BK43" s="626"/>
      <c r="BL43" s="435"/>
      <c r="BM43" s="1368"/>
      <c r="BN43" s="1363"/>
      <c r="BO43" s="1368"/>
      <c r="BP43" s="433"/>
      <c r="BQ43" s="433"/>
    </row>
    <row r="44" spans="1:69" s="211" customFormat="1" ht="12.95" customHeight="1">
      <c r="J44" s="213"/>
      <c r="K44" s="285"/>
      <c r="L44" s="213"/>
      <c r="M44" s="213"/>
      <c r="N44" s="213"/>
      <c r="O44" s="285"/>
      <c r="P44" s="213"/>
      <c r="AR44" s="213"/>
      <c r="AS44" s="213"/>
      <c r="AW44" s="213"/>
      <c r="AX44" s="213"/>
      <c r="AY44" s="213"/>
      <c r="AZ44" s="213"/>
      <c r="BA44" s="9"/>
      <c r="BB44" s="9"/>
      <c r="BK44" s="306"/>
      <c r="BM44" s="35"/>
      <c r="BN44" s="36"/>
      <c r="BO44" s="35"/>
      <c r="BQ44" s="35"/>
    </row>
    <row r="45" spans="1:69" s="9" customFormat="1" ht="12.95" customHeight="1">
      <c r="A45" s="1184" t="s">
        <v>31</v>
      </c>
      <c r="B45" s="689" t="s">
        <v>2490</v>
      </c>
      <c r="C45" s="8"/>
      <c r="D45" s="8"/>
      <c r="E45" s="8"/>
      <c r="F45" s="47"/>
      <c r="G45" s="1372"/>
      <c r="H45" s="1372"/>
      <c r="I45" s="9" t="s">
        <v>2488</v>
      </c>
      <c r="J45" s="211"/>
      <c r="K45" s="1373" t="s">
        <v>16</v>
      </c>
      <c r="L45" s="9" t="s">
        <v>1651</v>
      </c>
      <c r="Q45" s="68"/>
      <c r="R45" s="68"/>
      <c r="T45" s="81"/>
      <c r="AH45" s="202"/>
      <c r="AR45" s="213"/>
      <c r="AS45" s="334"/>
      <c r="AW45" s="213"/>
      <c r="AX45" s="213"/>
      <c r="AY45" s="213"/>
      <c r="AZ45" s="213"/>
      <c r="BA45" s="81"/>
      <c r="BJ45" s="211"/>
      <c r="BK45" s="306"/>
      <c r="BL45" s="211"/>
      <c r="BM45" s="35"/>
      <c r="BN45" s="36"/>
      <c r="BO45" s="35"/>
      <c r="BP45" s="211"/>
      <c r="BQ45" s="35"/>
    </row>
    <row r="46" spans="1:69" s="9" customFormat="1" ht="11.25" customHeight="1">
      <c r="A46" s="1184"/>
      <c r="B46" s="689" t="s">
        <v>2693</v>
      </c>
      <c r="C46" s="8"/>
      <c r="D46" s="8"/>
      <c r="E46" s="8"/>
      <c r="F46" s="47"/>
      <c r="G46" s="1372"/>
      <c r="H46" s="1372"/>
      <c r="J46" s="211"/>
      <c r="K46" s="1373"/>
      <c r="Q46" s="1420"/>
      <c r="R46" s="1420"/>
      <c r="T46" s="81"/>
      <c r="AH46" s="202"/>
      <c r="AR46" s="213"/>
      <c r="AS46" s="334"/>
      <c r="AW46" s="213"/>
      <c r="AX46" s="213"/>
      <c r="AY46" s="213"/>
      <c r="AZ46" s="213"/>
      <c r="BA46" s="81"/>
      <c r="BJ46" s="211"/>
      <c r="BK46" s="306"/>
      <c r="BL46" s="211"/>
      <c r="BM46" s="35"/>
      <c r="BN46" s="36"/>
      <c r="BO46" s="35"/>
      <c r="BP46" s="211"/>
      <c r="BQ46" s="35"/>
    </row>
    <row r="47" spans="1:69" s="9" customFormat="1" ht="10.5" customHeight="1">
      <c r="B47" s="81" t="s">
        <v>2548</v>
      </c>
      <c r="C47" s="53"/>
      <c r="D47" s="53"/>
      <c r="E47" s="81"/>
      <c r="J47" s="211"/>
      <c r="AR47" s="213"/>
      <c r="AS47" s="334"/>
      <c r="AW47" s="213"/>
      <c r="AX47" s="213"/>
      <c r="AY47" s="213"/>
      <c r="AZ47" s="213"/>
      <c r="BA47" s="81"/>
      <c r="BB47" s="81"/>
      <c r="BC47" s="81"/>
      <c r="BD47" s="81"/>
      <c r="BE47" s="81"/>
      <c r="BF47" s="81"/>
      <c r="BG47" s="81"/>
      <c r="BH47" s="81"/>
      <c r="BI47" s="81"/>
      <c r="BJ47" s="211"/>
      <c r="BK47" s="306"/>
      <c r="BL47" s="211"/>
      <c r="BM47" s="211"/>
      <c r="BN47" s="211"/>
      <c r="BO47" s="211"/>
      <c r="BP47" s="211"/>
      <c r="BQ47" s="211"/>
    </row>
    <row r="48" spans="1:69" s="81" customFormat="1" ht="10.5" customHeight="1">
      <c r="J48" s="224"/>
      <c r="AR48" s="213"/>
      <c r="AS48" s="334"/>
      <c r="AW48" s="213"/>
      <c r="AX48" s="213"/>
      <c r="AY48" s="213"/>
      <c r="AZ48" s="213"/>
      <c r="BA48" s="213"/>
      <c r="BJ48" s="211"/>
      <c r="BK48" s="306"/>
      <c r="BL48" s="211"/>
      <c r="BM48" s="211"/>
      <c r="BN48" s="211"/>
      <c r="BO48" s="211"/>
      <c r="BP48" s="211"/>
      <c r="BQ48" s="211"/>
    </row>
    <row r="49" spans="2:69" s="81" customFormat="1" ht="11.25" customHeight="1">
      <c r="J49" s="331"/>
      <c r="K49" s="224"/>
      <c r="L49" s="224"/>
      <c r="M49" s="224"/>
      <c r="N49" s="224"/>
      <c r="O49" s="224"/>
      <c r="P49" s="224"/>
      <c r="AR49" s="213"/>
      <c r="AS49" s="334"/>
      <c r="AW49" s="213"/>
      <c r="AX49" s="213"/>
      <c r="AY49" s="213"/>
      <c r="AZ49" s="213"/>
      <c r="BA49" s="213"/>
      <c r="BB49" s="334"/>
      <c r="BC49" s="213"/>
      <c r="BD49" s="213"/>
      <c r="BE49" s="213"/>
      <c r="BF49" s="213"/>
      <c r="BG49" s="213"/>
      <c r="BH49" s="213"/>
      <c r="BI49" s="213"/>
      <c r="BJ49" s="211"/>
      <c r="BK49" s="211"/>
      <c r="BL49" s="211"/>
      <c r="BM49" s="211"/>
      <c r="BN49" s="211"/>
      <c r="BO49" s="211"/>
      <c r="BP49" s="211"/>
      <c r="BQ49" s="211"/>
    </row>
    <row r="50" spans="2:69" ht="13.5" customHeight="1">
      <c r="BJ50" s="326"/>
      <c r="BK50" s="323"/>
      <c r="BL50" s="1536"/>
      <c r="BM50" s="279"/>
      <c r="BN50" s="279"/>
      <c r="BO50" s="279"/>
      <c r="BP50" s="320"/>
      <c r="BQ50" s="308"/>
    </row>
    <row r="51" spans="2:69" ht="12" customHeight="1">
      <c r="BJ51" s="326"/>
      <c r="BK51" s="323"/>
      <c r="BL51" s="1536"/>
      <c r="BM51" s="283"/>
      <c r="BN51" s="35"/>
      <c r="BO51" s="283"/>
      <c r="BP51" s="315"/>
      <c r="BQ51" s="308"/>
    </row>
    <row r="52" spans="2:69" ht="12.75" customHeight="1">
      <c r="BJ52" s="326"/>
      <c r="BK52" s="323"/>
      <c r="BL52" s="1536"/>
      <c r="BM52" s="330"/>
      <c r="BN52" s="308"/>
      <c r="BO52" s="330"/>
      <c r="BP52" s="315"/>
      <c r="BQ52" s="308"/>
    </row>
    <row r="53" spans="2:69" ht="12" customHeight="1">
      <c r="BJ53" s="326"/>
      <c r="BK53" s="323"/>
      <c r="BL53" s="1536"/>
      <c r="BM53" s="330"/>
      <c r="BN53" s="16"/>
      <c r="BO53" s="330"/>
      <c r="BP53" s="315"/>
      <c r="BQ53" s="308"/>
    </row>
    <row r="54" spans="2:69" ht="11.25" customHeight="1">
      <c r="BJ54" s="326"/>
      <c r="BK54" s="323"/>
      <c r="BL54" s="1536"/>
      <c r="BM54" s="330"/>
      <c r="BN54" s="308"/>
      <c r="BO54" s="330"/>
      <c r="BP54" s="315"/>
      <c r="BQ54" s="308"/>
    </row>
    <row r="55" spans="2:69" s="213" customFormat="1" ht="22.5" customHeight="1">
      <c r="B55" s="333"/>
      <c r="H55" s="333"/>
      <c r="J55" s="332"/>
      <c r="O55" s="333"/>
      <c r="R55" s="332"/>
      <c r="W55" s="333"/>
      <c r="Z55" s="334"/>
      <c r="AK55" s="334"/>
      <c r="AS55" s="334"/>
      <c r="BB55" s="334"/>
      <c r="BJ55" s="308"/>
      <c r="BK55" s="323"/>
      <c r="BL55" s="1536"/>
      <c r="BM55" s="283"/>
      <c r="BN55" s="35"/>
      <c r="BO55" s="283"/>
      <c r="BP55" s="315"/>
      <c r="BQ55" s="308"/>
    </row>
    <row r="56" spans="2:69" s="213" customFormat="1" ht="22.5" customHeight="1">
      <c r="B56" s="333"/>
      <c r="H56" s="333"/>
      <c r="J56" s="332"/>
      <c r="O56" s="333"/>
      <c r="R56" s="332"/>
      <c r="W56" s="333"/>
      <c r="Z56" s="334"/>
      <c r="AK56" s="334"/>
      <c r="AS56" s="334"/>
      <c r="BB56" s="334"/>
      <c r="BJ56" s="308"/>
      <c r="BK56" s="323"/>
      <c r="BL56" s="1536"/>
      <c r="BM56" s="283"/>
      <c r="BN56" s="36"/>
      <c r="BO56" s="283"/>
      <c r="BP56" s="315"/>
      <c r="BQ56" s="308"/>
    </row>
    <row r="57" spans="2:69" s="213" customFormat="1" ht="22.5" customHeight="1">
      <c r="B57" s="333"/>
      <c r="H57" s="333"/>
      <c r="J57" s="332"/>
      <c r="O57" s="333"/>
      <c r="R57" s="332"/>
      <c r="W57" s="333"/>
      <c r="Z57" s="334"/>
      <c r="AK57" s="334"/>
      <c r="AS57" s="334"/>
      <c r="BB57" s="334"/>
      <c r="BJ57" s="308"/>
      <c r="BK57" s="323"/>
      <c r="BL57" s="1536"/>
      <c r="BM57" s="283"/>
      <c r="BN57" s="36"/>
      <c r="BO57" s="283"/>
      <c r="BP57" s="315"/>
      <c r="BQ57" s="308"/>
    </row>
    <row r="58" spans="2:69" s="213" customFormat="1" ht="22.5" customHeight="1">
      <c r="B58" s="333"/>
      <c r="H58" s="333"/>
      <c r="J58" s="332"/>
      <c r="O58" s="333"/>
      <c r="R58" s="332"/>
      <c r="W58" s="333"/>
      <c r="Z58" s="334"/>
      <c r="AK58" s="334"/>
      <c r="AS58" s="334"/>
      <c r="BB58" s="334"/>
      <c r="BJ58" s="308"/>
      <c r="BK58" s="323"/>
      <c r="BL58" s="1536"/>
      <c r="BM58" s="283"/>
      <c r="BN58" s="36"/>
      <c r="BO58" s="283"/>
      <c r="BP58" s="315"/>
      <c r="BQ58" s="308"/>
    </row>
    <row r="59" spans="2:69" s="213" customFormat="1" ht="22.5" customHeight="1">
      <c r="B59" s="333"/>
      <c r="H59" s="333"/>
      <c r="J59" s="332"/>
      <c r="O59" s="333"/>
      <c r="R59" s="332"/>
      <c r="W59" s="333"/>
      <c r="Z59" s="334"/>
      <c r="AK59" s="334"/>
      <c r="AS59" s="334"/>
      <c r="BJ59" s="308"/>
      <c r="BK59" s="323"/>
      <c r="BL59" s="1536"/>
      <c r="BM59" s="283"/>
      <c r="BN59" s="36"/>
      <c r="BO59" s="283"/>
      <c r="BP59" s="315"/>
      <c r="BQ59" s="308"/>
    </row>
    <row r="60" spans="2:69" s="213" customFormat="1" ht="22.5" customHeight="1">
      <c r="B60" s="333"/>
      <c r="H60" s="333"/>
      <c r="J60" s="332"/>
      <c r="O60" s="333"/>
      <c r="R60" s="332"/>
      <c r="W60" s="333"/>
      <c r="Z60" s="334"/>
      <c r="AK60" s="334"/>
      <c r="BB60" s="334"/>
      <c r="BJ60" s="308"/>
      <c r="BK60" s="323"/>
      <c r="BL60" s="1536"/>
      <c r="BM60" s="283"/>
      <c r="BN60" s="36"/>
      <c r="BO60" s="283"/>
      <c r="BP60" s="315"/>
      <c r="BQ60" s="308"/>
    </row>
    <row r="61" spans="2:69" s="213" customFormat="1" ht="22.5" customHeight="1">
      <c r="B61" s="333"/>
      <c r="H61" s="333"/>
      <c r="J61" s="332"/>
      <c r="O61" s="333"/>
      <c r="R61" s="332"/>
      <c r="W61" s="333"/>
      <c r="Z61" s="334"/>
      <c r="AK61" s="334"/>
      <c r="AS61" s="334"/>
      <c r="BB61" s="334"/>
      <c r="BK61" s="323"/>
      <c r="BL61" s="1536"/>
      <c r="BM61" s="283"/>
      <c r="BN61" s="36"/>
      <c r="BO61" s="283"/>
      <c r="BP61" s="315"/>
      <c r="BQ61" s="308"/>
    </row>
    <row r="62" spans="2:69" s="213" customFormat="1" ht="22.5" customHeight="1">
      <c r="B62" s="333"/>
      <c r="H62" s="333"/>
      <c r="J62" s="332"/>
      <c r="O62" s="333"/>
      <c r="R62" s="332"/>
      <c r="W62" s="333"/>
      <c r="Z62" s="334"/>
      <c r="AK62" s="334"/>
      <c r="AS62" s="334"/>
      <c r="BB62" s="334"/>
      <c r="BK62" s="323"/>
      <c r="BL62" s="1536"/>
      <c r="BM62" s="283"/>
      <c r="BN62" s="36"/>
      <c r="BO62" s="283"/>
      <c r="BP62" s="315"/>
      <c r="BQ62" s="308"/>
    </row>
    <row r="63" spans="2:69" s="213" customFormat="1" ht="22.5" customHeight="1">
      <c r="B63" s="333"/>
      <c r="H63" s="333"/>
      <c r="J63" s="332"/>
      <c r="O63" s="333"/>
      <c r="R63" s="332"/>
      <c r="W63" s="333"/>
      <c r="Z63" s="334"/>
      <c r="AK63" s="334"/>
      <c r="AS63" s="334"/>
      <c r="BA63" s="318"/>
      <c r="BB63" s="334"/>
      <c r="BK63" s="323"/>
      <c r="BL63" s="1536"/>
      <c r="BM63" s="283"/>
      <c r="BN63" s="36"/>
      <c r="BO63" s="283"/>
      <c r="BP63" s="315"/>
      <c r="BQ63" s="308"/>
    </row>
    <row r="64" spans="2:69" ht="22.5" customHeight="1">
      <c r="BA64" s="318"/>
      <c r="BC64" s="318"/>
      <c r="BD64" s="318"/>
      <c r="BE64" s="318"/>
      <c r="BF64" s="318"/>
      <c r="BG64" s="318"/>
      <c r="BH64" s="318"/>
      <c r="BI64" s="318"/>
      <c r="BK64" s="323"/>
      <c r="BL64" s="1536"/>
      <c r="BM64" s="283"/>
      <c r="BN64" s="36"/>
      <c r="BO64" s="283"/>
      <c r="BP64" s="315"/>
      <c r="BQ64" s="308"/>
    </row>
    <row r="65" spans="10:69" s="121" customFormat="1" ht="22.5" customHeight="1">
      <c r="J65" s="334"/>
      <c r="K65" s="318"/>
      <c r="L65" s="318"/>
      <c r="M65" s="318"/>
      <c r="N65" s="318"/>
      <c r="O65" s="318"/>
      <c r="P65" s="318"/>
      <c r="Q65" s="318"/>
      <c r="R65" s="334"/>
      <c r="S65" s="318"/>
      <c r="T65" s="318"/>
      <c r="U65" s="318"/>
      <c r="V65" s="318"/>
      <c r="W65" s="318"/>
      <c r="X65" s="318"/>
      <c r="AR65" s="318"/>
      <c r="AS65" s="334"/>
      <c r="AW65" s="318"/>
      <c r="AX65" s="318"/>
      <c r="AY65" s="318"/>
      <c r="AZ65" s="318"/>
      <c r="BA65" s="318"/>
      <c r="BB65" s="334"/>
      <c r="BC65" s="318"/>
      <c r="BD65" s="318"/>
      <c r="BE65" s="318"/>
      <c r="BF65" s="318"/>
      <c r="BG65" s="318"/>
      <c r="BH65" s="318"/>
      <c r="BI65" s="318"/>
      <c r="BJ65" s="213"/>
      <c r="BK65" s="334"/>
      <c r="BL65" s="213"/>
      <c r="BM65" s="213"/>
      <c r="BN65" s="213"/>
      <c r="BO65" s="213"/>
      <c r="BP65" s="213"/>
      <c r="BQ65" s="213"/>
    </row>
    <row r="66" spans="10:69" s="121" customFormat="1" ht="22.5" customHeight="1">
      <c r="J66" s="334"/>
      <c r="K66" s="318"/>
      <c r="L66" s="318"/>
      <c r="M66" s="318"/>
      <c r="N66" s="318"/>
      <c r="O66" s="318"/>
      <c r="P66" s="318"/>
      <c r="Q66" s="318"/>
      <c r="R66" s="334"/>
      <c r="S66" s="318"/>
      <c r="T66" s="318"/>
      <c r="U66" s="318"/>
      <c r="V66" s="318"/>
      <c r="W66" s="318"/>
      <c r="X66" s="318"/>
      <c r="Y66" s="318"/>
      <c r="Z66" s="334"/>
      <c r="AA66" s="318"/>
      <c r="AB66" s="318"/>
      <c r="AC66" s="318"/>
      <c r="AD66" s="318"/>
      <c r="AE66" s="318"/>
      <c r="AF66" s="318"/>
      <c r="AG66" s="318"/>
      <c r="AH66" s="318"/>
      <c r="AI66" s="318"/>
      <c r="AR66" s="318"/>
      <c r="AS66" s="334"/>
      <c r="AW66" s="318"/>
      <c r="AX66" s="318"/>
      <c r="AY66" s="318"/>
      <c r="AZ66" s="318"/>
      <c r="BA66" s="318"/>
      <c r="BB66" s="334"/>
      <c r="BC66" s="318"/>
      <c r="BD66" s="318"/>
      <c r="BE66" s="318"/>
      <c r="BF66" s="318"/>
      <c r="BG66" s="318"/>
      <c r="BH66" s="318"/>
      <c r="BI66" s="318"/>
      <c r="BJ66" s="213"/>
      <c r="BK66" s="334"/>
      <c r="BL66" s="213"/>
      <c r="BM66" s="213"/>
      <c r="BN66" s="213"/>
      <c r="BO66" s="213"/>
      <c r="BP66" s="213"/>
      <c r="BQ66" s="213"/>
    </row>
    <row r="67" spans="10:69" s="121" customFormat="1" ht="22.5" customHeight="1">
      <c r="J67" s="334"/>
      <c r="K67" s="318"/>
      <c r="L67" s="318"/>
      <c r="M67" s="318"/>
      <c r="N67" s="318"/>
      <c r="O67" s="318"/>
      <c r="P67" s="318"/>
      <c r="Q67" s="318"/>
      <c r="R67" s="334"/>
      <c r="S67" s="318"/>
      <c r="T67" s="318"/>
      <c r="U67" s="318"/>
      <c r="V67" s="318"/>
      <c r="W67" s="318"/>
      <c r="X67" s="318"/>
      <c r="Y67" s="318"/>
      <c r="Z67" s="334"/>
      <c r="AA67" s="318"/>
      <c r="AB67" s="318"/>
      <c r="AC67" s="318"/>
      <c r="AD67" s="318"/>
      <c r="AE67" s="318"/>
      <c r="AF67" s="318"/>
      <c r="AG67" s="318"/>
      <c r="AH67" s="318"/>
      <c r="AI67" s="318"/>
      <c r="AR67" s="318"/>
      <c r="AS67" s="334"/>
      <c r="AW67" s="318"/>
      <c r="AX67" s="318"/>
      <c r="AY67" s="318"/>
      <c r="AZ67" s="318"/>
      <c r="BA67" s="318"/>
      <c r="BB67" s="334"/>
      <c r="BC67" s="318"/>
      <c r="BD67" s="318"/>
      <c r="BE67" s="318"/>
      <c r="BF67" s="318"/>
      <c r="BG67" s="318"/>
      <c r="BH67" s="318"/>
      <c r="BI67" s="318"/>
      <c r="BJ67" s="213"/>
      <c r="BK67" s="334"/>
      <c r="BL67" s="213"/>
      <c r="BM67" s="213"/>
      <c r="BN67" s="213"/>
      <c r="BO67" s="213"/>
      <c r="BP67" s="213"/>
      <c r="BQ67" s="213"/>
    </row>
    <row r="68" spans="10:69" s="121" customFormat="1" ht="22.5" customHeight="1">
      <c r="J68" s="334"/>
      <c r="K68" s="318"/>
      <c r="L68" s="318"/>
      <c r="M68" s="318"/>
      <c r="N68" s="318"/>
      <c r="O68" s="318"/>
      <c r="P68" s="318"/>
      <c r="Q68" s="318"/>
      <c r="R68" s="334"/>
      <c r="S68" s="318"/>
      <c r="T68" s="318"/>
      <c r="U68" s="318"/>
      <c r="V68" s="318"/>
      <c r="W68" s="318"/>
      <c r="X68" s="318"/>
      <c r="Y68" s="318"/>
      <c r="Z68" s="334"/>
      <c r="AA68" s="318"/>
      <c r="AB68" s="318"/>
      <c r="AC68" s="318"/>
      <c r="AD68" s="318"/>
      <c r="AE68" s="318"/>
      <c r="AF68" s="318"/>
      <c r="AG68" s="318"/>
      <c r="AH68" s="318"/>
      <c r="AI68" s="318"/>
      <c r="AJ68" s="318"/>
      <c r="AK68" s="334"/>
      <c r="AL68" s="318"/>
      <c r="AM68" s="318"/>
      <c r="AN68" s="318"/>
      <c r="AO68" s="318"/>
      <c r="AP68" s="318"/>
      <c r="AQ68" s="318"/>
      <c r="AR68" s="308"/>
      <c r="AS68" s="334"/>
      <c r="AW68" s="318"/>
      <c r="AX68" s="318"/>
      <c r="AY68" s="335"/>
      <c r="AZ68" s="318"/>
      <c r="BA68" s="318"/>
      <c r="BB68" s="334"/>
      <c r="BC68" s="318"/>
      <c r="BD68" s="318"/>
      <c r="BE68" s="318"/>
      <c r="BF68" s="318"/>
      <c r="BG68" s="318"/>
      <c r="BH68" s="318"/>
      <c r="BI68" s="318"/>
      <c r="BJ68" s="213"/>
      <c r="BK68" s="334"/>
      <c r="BL68" s="213"/>
      <c r="BM68" s="213"/>
      <c r="BN68" s="213"/>
      <c r="BO68" s="213"/>
      <c r="BP68" s="213"/>
      <c r="BQ68" s="213"/>
    </row>
    <row r="69" spans="10:69" s="121" customFormat="1" ht="22.5" customHeight="1">
      <c r="J69" s="334"/>
      <c r="K69" s="318"/>
      <c r="L69" s="318"/>
      <c r="M69" s="318"/>
      <c r="N69" s="318"/>
      <c r="O69" s="318"/>
      <c r="P69" s="318"/>
      <c r="Q69" s="318"/>
      <c r="R69" s="334"/>
      <c r="S69" s="318"/>
      <c r="T69" s="318"/>
      <c r="U69" s="318"/>
      <c r="V69" s="318"/>
      <c r="W69" s="318"/>
      <c r="X69" s="318"/>
      <c r="Y69" s="318"/>
      <c r="Z69" s="334"/>
      <c r="AA69" s="318"/>
      <c r="AB69" s="318"/>
      <c r="AC69" s="318"/>
      <c r="AD69" s="318"/>
      <c r="AE69" s="318"/>
      <c r="AF69" s="318"/>
      <c r="AG69" s="318"/>
      <c r="AH69" s="318"/>
      <c r="AI69" s="318"/>
      <c r="AR69" s="308"/>
      <c r="AS69" s="334"/>
      <c r="AW69" s="318"/>
      <c r="AX69" s="318"/>
      <c r="AY69" s="335"/>
      <c r="AZ69" s="318"/>
      <c r="BA69" s="318"/>
      <c r="BB69" s="334"/>
      <c r="BC69" s="318"/>
      <c r="BD69" s="318"/>
      <c r="BE69" s="318"/>
      <c r="BF69" s="318"/>
      <c r="BG69" s="318"/>
      <c r="BH69" s="318"/>
      <c r="BI69" s="318"/>
      <c r="BJ69" s="318"/>
      <c r="BK69" s="334"/>
      <c r="BL69" s="318"/>
      <c r="BM69" s="318"/>
      <c r="BN69" s="318"/>
      <c r="BO69" s="318"/>
      <c r="BP69" s="318"/>
      <c r="BQ69" s="318"/>
    </row>
    <row r="70" spans="10:69" s="121" customFormat="1" ht="22.5" customHeight="1">
      <c r="J70" s="334"/>
      <c r="K70" s="318"/>
      <c r="L70" s="318"/>
      <c r="M70" s="318"/>
      <c r="N70" s="318"/>
      <c r="O70" s="318"/>
      <c r="P70" s="318"/>
      <c r="Q70" s="318"/>
      <c r="R70" s="334"/>
      <c r="S70" s="318"/>
      <c r="T70" s="318"/>
      <c r="U70" s="318"/>
      <c r="V70" s="318"/>
      <c r="W70" s="318"/>
      <c r="X70" s="318"/>
      <c r="Y70" s="318"/>
      <c r="Z70" s="334"/>
      <c r="AA70" s="318"/>
      <c r="AB70" s="318"/>
      <c r="AC70" s="318"/>
      <c r="AD70" s="318"/>
      <c r="AE70" s="318"/>
      <c r="AF70" s="318"/>
      <c r="AG70" s="318"/>
      <c r="AH70" s="318"/>
      <c r="AI70" s="318"/>
      <c r="AR70" s="308"/>
      <c r="AS70" s="334"/>
      <c r="AW70" s="318"/>
      <c r="AX70" s="318"/>
      <c r="AY70" s="335"/>
      <c r="AZ70" s="318"/>
      <c r="BA70" s="318"/>
      <c r="BB70" s="334"/>
      <c r="BC70" s="318"/>
      <c r="BD70" s="318"/>
      <c r="BE70" s="318"/>
      <c r="BF70" s="318"/>
      <c r="BG70" s="318"/>
      <c r="BH70" s="318"/>
      <c r="BI70" s="318"/>
      <c r="BJ70" s="318"/>
      <c r="BK70" s="334"/>
      <c r="BL70" s="318"/>
      <c r="BM70" s="318"/>
      <c r="BN70" s="318"/>
      <c r="BO70" s="318"/>
      <c r="BP70" s="318"/>
      <c r="BQ70" s="318"/>
    </row>
    <row r="71" spans="10:69" s="121" customFormat="1" ht="22.5" customHeight="1">
      <c r="J71" s="334"/>
      <c r="K71" s="318"/>
      <c r="L71" s="318"/>
      <c r="M71" s="318"/>
      <c r="N71" s="318"/>
      <c r="O71" s="318"/>
      <c r="P71" s="318"/>
      <c r="Q71" s="318"/>
      <c r="R71" s="334"/>
      <c r="S71" s="318"/>
      <c r="T71" s="318"/>
      <c r="U71" s="318"/>
      <c r="V71" s="318"/>
      <c r="W71" s="318"/>
      <c r="X71" s="318"/>
      <c r="Y71" s="318"/>
      <c r="Z71" s="334"/>
      <c r="AA71" s="318"/>
      <c r="AB71" s="318"/>
      <c r="AC71" s="318"/>
      <c r="AD71" s="318"/>
      <c r="AE71" s="318"/>
      <c r="AF71" s="318"/>
      <c r="AG71" s="318"/>
      <c r="AH71" s="318"/>
      <c r="AI71" s="318"/>
      <c r="AR71" s="318"/>
      <c r="AS71" s="334"/>
      <c r="AT71" s="318"/>
      <c r="AU71" s="318"/>
      <c r="AV71" s="318"/>
      <c r="AW71" s="318"/>
      <c r="AX71" s="318"/>
      <c r="AY71" s="318"/>
      <c r="AZ71" s="318"/>
      <c r="BA71" s="318"/>
      <c r="BB71" s="334"/>
      <c r="BC71" s="318"/>
      <c r="BD71" s="318"/>
      <c r="BE71" s="318"/>
      <c r="BF71" s="318"/>
      <c r="BG71" s="318"/>
      <c r="BH71" s="318"/>
      <c r="BI71" s="318"/>
      <c r="BJ71" s="318"/>
      <c r="BK71" s="334"/>
      <c r="BL71" s="318"/>
      <c r="BM71" s="318"/>
      <c r="BN71" s="318"/>
      <c r="BO71" s="318"/>
      <c r="BP71" s="318"/>
      <c r="BQ71" s="318"/>
    </row>
    <row r="72" spans="10:69" s="121" customFormat="1" ht="22.5" customHeight="1">
      <c r="J72" s="334"/>
      <c r="K72" s="318"/>
      <c r="L72" s="318"/>
      <c r="M72" s="318"/>
      <c r="N72" s="318"/>
      <c r="O72" s="318"/>
      <c r="P72" s="318"/>
      <c r="Q72" s="318"/>
      <c r="R72" s="334"/>
      <c r="S72" s="318"/>
      <c r="T72" s="318"/>
      <c r="U72" s="318"/>
      <c r="V72" s="318"/>
      <c r="W72" s="318"/>
      <c r="X72" s="318"/>
      <c r="Y72" s="318"/>
      <c r="Z72" s="334"/>
      <c r="AA72" s="318"/>
      <c r="AB72" s="318"/>
      <c r="AC72" s="318"/>
      <c r="AD72" s="318"/>
      <c r="AE72" s="318"/>
      <c r="AF72" s="318"/>
      <c r="AG72" s="318"/>
      <c r="AH72" s="318"/>
      <c r="AI72" s="318"/>
      <c r="AR72" s="318"/>
      <c r="AS72" s="334"/>
      <c r="AT72" s="318"/>
      <c r="AU72" s="318"/>
      <c r="AV72" s="318"/>
      <c r="AW72" s="318"/>
      <c r="AX72" s="318"/>
      <c r="AY72" s="318"/>
      <c r="AZ72" s="318"/>
      <c r="BA72" s="318"/>
      <c r="BB72" s="334"/>
      <c r="BC72" s="318"/>
      <c r="BD72" s="318"/>
      <c r="BE72" s="318"/>
      <c r="BF72" s="318"/>
      <c r="BG72" s="318"/>
      <c r="BH72" s="318"/>
      <c r="BI72" s="318"/>
      <c r="BJ72" s="308"/>
      <c r="BK72" s="334"/>
      <c r="BL72" s="318"/>
      <c r="BM72" s="318"/>
      <c r="BN72" s="318"/>
      <c r="BO72" s="318"/>
      <c r="BP72" s="335"/>
      <c r="BQ72" s="318"/>
    </row>
    <row r="73" spans="10:69" s="121" customFormat="1" ht="22.5" customHeight="1">
      <c r="J73" s="334"/>
      <c r="K73" s="318"/>
      <c r="L73" s="318"/>
      <c r="M73" s="318"/>
      <c r="N73" s="318"/>
      <c r="O73" s="318"/>
      <c r="P73" s="318"/>
      <c r="Q73" s="318"/>
      <c r="R73" s="334"/>
      <c r="S73" s="318"/>
      <c r="T73" s="318"/>
      <c r="U73" s="318"/>
      <c r="V73" s="318"/>
      <c r="W73" s="318"/>
      <c r="X73" s="318"/>
      <c r="Y73" s="318"/>
      <c r="Z73" s="334"/>
      <c r="AA73" s="318"/>
      <c r="AB73" s="318"/>
      <c r="AC73" s="318"/>
      <c r="AD73" s="318"/>
      <c r="AE73" s="318"/>
      <c r="AF73" s="318"/>
      <c r="AG73" s="318"/>
      <c r="AH73" s="318"/>
      <c r="AI73" s="318"/>
      <c r="AR73" s="318"/>
      <c r="AS73" s="334"/>
      <c r="AT73" s="318"/>
      <c r="AU73" s="318"/>
      <c r="AV73" s="318"/>
      <c r="AW73" s="318"/>
      <c r="AX73" s="318"/>
      <c r="AY73" s="318"/>
      <c r="AZ73" s="318"/>
      <c r="BA73" s="318"/>
      <c r="BB73" s="334"/>
      <c r="BC73" s="318"/>
      <c r="BD73" s="318"/>
      <c r="BE73" s="318"/>
      <c r="BF73" s="318"/>
      <c r="BG73" s="318"/>
      <c r="BH73" s="318"/>
      <c r="BI73" s="318"/>
      <c r="BJ73" s="308"/>
      <c r="BK73" s="334"/>
      <c r="BL73" s="318"/>
      <c r="BM73" s="318"/>
      <c r="BN73" s="318"/>
      <c r="BO73" s="318"/>
      <c r="BP73" s="335"/>
      <c r="BQ73" s="318"/>
    </row>
    <row r="74" spans="10:69" s="121" customFormat="1" ht="22.5" customHeight="1">
      <c r="J74" s="334"/>
      <c r="K74" s="318"/>
      <c r="L74" s="318"/>
      <c r="M74" s="318"/>
      <c r="N74" s="318"/>
      <c r="O74" s="318"/>
      <c r="P74" s="318"/>
      <c r="Q74" s="318"/>
      <c r="R74" s="334"/>
      <c r="S74" s="318"/>
      <c r="T74" s="318"/>
      <c r="U74" s="318"/>
      <c r="V74" s="318"/>
      <c r="W74" s="318"/>
      <c r="X74" s="318"/>
      <c r="Y74" s="318"/>
      <c r="Z74" s="334"/>
      <c r="AA74" s="318"/>
      <c r="AB74" s="318"/>
      <c r="AC74" s="318"/>
      <c r="AD74" s="318"/>
      <c r="AE74" s="318"/>
      <c r="AF74" s="318"/>
      <c r="AG74" s="318"/>
      <c r="AH74" s="318"/>
      <c r="AI74" s="318"/>
      <c r="AR74" s="318"/>
      <c r="AS74" s="334"/>
      <c r="AT74" s="318"/>
      <c r="AU74" s="318"/>
      <c r="AV74" s="318"/>
      <c r="AW74" s="318"/>
      <c r="AX74" s="318"/>
      <c r="AY74" s="318"/>
      <c r="AZ74" s="318"/>
      <c r="BA74" s="318"/>
      <c r="BB74" s="334"/>
      <c r="BC74" s="318"/>
      <c r="BD74" s="318"/>
      <c r="BE74" s="318"/>
      <c r="BF74" s="318"/>
      <c r="BG74" s="318"/>
      <c r="BH74" s="318"/>
      <c r="BI74" s="318"/>
      <c r="BJ74" s="308"/>
      <c r="BK74" s="334"/>
      <c r="BL74" s="318"/>
      <c r="BM74" s="318"/>
      <c r="BN74" s="318"/>
      <c r="BO74" s="318"/>
      <c r="BP74" s="335"/>
      <c r="BQ74" s="318"/>
    </row>
    <row r="75" spans="10:69" s="121" customFormat="1" ht="22.5" customHeight="1">
      <c r="J75" s="334"/>
      <c r="K75" s="318"/>
      <c r="L75" s="318"/>
      <c r="M75" s="318"/>
      <c r="N75" s="318"/>
      <c r="O75" s="318"/>
      <c r="P75" s="318"/>
      <c r="Q75" s="318"/>
      <c r="R75" s="334"/>
      <c r="S75" s="318"/>
      <c r="T75" s="318"/>
      <c r="U75" s="318"/>
      <c r="V75" s="318"/>
      <c r="W75" s="318"/>
      <c r="X75" s="318"/>
      <c r="Y75" s="318"/>
      <c r="Z75" s="334"/>
      <c r="AA75" s="318"/>
      <c r="AB75" s="318"/>
      <c r="AC75" s="318"/>
      <c r="AD75" s="318"/>
      <c r="AE75" s="318"/>
      <c r="AF75" s="318"/>
      <c r="AG75" s="318"/>
      <c r="AH75" s="318"/>
      <c r="AI75" s="318"/>
      <c r="AR75" s="318"/>
      <c r="AS75" s="334"/>
      <c r="AT75" s="318"/>
      <c r="AU75" s="318"/>
      <c r="AV75" s="318"/>
      <c r="AW75" s="318"/>
      <c r="AX75" s="318"/>
      <c r="AY75" s="318"/>
      <c r="AZ75" s="318"/>
      <c r="BA75" s="318"/>
      <c r="BB75" s="334"/>
      <c r="BC75" s="318"/>
      <c r="BD75" s="318"/>
      <c r="BE75" s="318"/>
      <c r="BF75" s="318"/>
      <c r="BG75" s="318"/>
      <c r="BH75" s="318"/>
      <c r="BI75" s="318"/>
      <c r="BJ75" s="318"/>
      <c r="BK75" s="334"/>
      <c r="BL75" s="318"/>
      <c r="BM75" s="318"/>
      <c r="BN75" s="318"/>
      <c r="BO75" s="318"/>
      <c r="BP75" s="318"/>
      <c r="BQ75" s="318"/>
    </row>
    <row r="76" spans="10:69" s="121" customFormat="1" ht="22.5" customHeight="1">
      <c r="J76" s="334"/>
      <c r="K76" s="318"/>
      <c r="L76" s="318"/>
      <c r="M76" s="318"/>
      <c r="N76" s="318"/>
      <c r="O76" s="318"/>
      <c r="P76" s="318"/>
      <c r="Q76" s="318"/>
      <c r="R76" s="334"/>
      <c r="S76" s="318"/>
      <c r="T76" s="318"/>
      <c r="U76" s="318"/>
      <c r="V76" s="318"/>
      <c r="W76" s="318"/>
      <c r="X76" s="318"/>
      <c r="Y76" s="318"/>
      <c r="Z76" s="334"/>
      <c r="AA76" s="318"/>
      <c r="AB76" s="318"/>
      <c r="AC76" s="318"/>
      <c r="AD76" s="318"/>
      <c r="AE76" s="318"/>
      <c r="AF76" s="318"/>
      <c r="AG76" s="318"/>
      <c r="AH76" s="318"/>
      <c r="AI76" s="318"/>
      <c r="AR76" s="318"/>
      <c r="AS76" s="334"/>
      <c r="AT76" s="318"/>
      <c r="AU76" s="318"/>
      <c r="AV76" s="318"/>
      <c r="AW76" s="318"/>
      <c r="AX76" s="318"/>
      <c r="AY76" s="318"/>
      <c r="AZ76" s="318"/>
      <c r="BA76" s="318"/>
      <c r="BB76" s="334"/>
      <c r="BC76" s="318"/>
      <c r="BD76" s="318"/>
      <c r="BE76" s="318"/>
      <c r="BF76" s="318"/>
      <c r="BG76" s="318"/>
      <c r="BH76" s="318"/>
      <c r="BI76" s="318"/>
      <c r="BJ76" s="318"/>
      <c r="BK76" s="334"/>
      <c r="BL76" s="318"/>
      <c r="BM76" s="318"/>
      <c r="BN76" s="318"/>
      <c r="BO76" s="318"/>
      <c r="BP76" s="318"/>
      <c r="BQ76" s="318"/>
    </row>
    <row r="77" spans="10:69" s="121" customFormat="1" ht="22.5" customHeight="1">
      <c r="J77" s="334"/>
      <c r="K77" s="318"/>
      <c r="L77" s="318"/>
      <c r="M77" s="318"/>
      <c r="N77" s="318"/>
      <c r="O77" s="318"/>
      <c r="P77" s="318"/>
      <c r="Q77" s="318"/>
      <c r="R77" s="334"/>
      <c r="S77" s="318"/>
      <c r="T77" s="318"/>
      <c r="U77" s="318"/>
      <c r="V77" s="318"/>
      <c r="W77" s="318"/>
      <c r="X77" s="318"/>
      <c r="Y77" s="318"/>
      <c r="Z77" s="334"/>
      <c r="AA77" s="318"/>
      <c r="AB77" s="318"/>
      <c r="AC77" s="318"/>
      <c r="AD77" s="318"/>
      <c r="AE77" s="318"/>
      <c r="AF77" s="318"/>
      <c r="AG77" s="318"/>
      <c r="AH77" s="318"/>
      <c r="AI77" s="318"/>
      <c r="AJ77" s="318"/>
      <c r="AK77" s="334"/>
      <c r="AL77" s="318"/>
      <c r="AM77" s="318"/>
      <c r="AN77" s="318"/>
      <c r="AO77" s="318"/>
      <c r="AP77" s="318"/>
      <c r="AQ77" s="318"/>
      <c r="AR77" s="318"/>
      <c r="AS77" s="334"/>
      <c r="AT77" s="318"/>
      <c r="AU77" s="318"/>
      <c r="AV77" s="318"/>
      <c r="AW77" s="318"/>
      <c r="AX77" s="318"/>
      <c r="AY77" s="318"/>
      <c r="AZ77" s="318"/>
      <c r="BA77" s="318"/>
      <c r="BB77" s="334"/>
      <c r="BC77" s="318"/>
      <c r="BD77" s="318"/>
      <c r="BE77" s="318"/>
      <c r="BF77" s="318"/>
      <c r="BG77" s="318"/>
      <c r="BH77" s="318"/>
      <c r="BI77" s="318"/>
      <c r="BJ77" s="318"/>
      <c r="BK77" s="334"/>
      <c r="BL77" s="318"/>
      <c r="BM77" s="318"/>
      <c r="BN77" s="318"/>
      <c r="BO77" s="318"/>
      <c r="BP77" s="318"/>
      <c r="BQ77" s="318"/>
    </row>
    <row r="78" spans="10:69" s="121" customFormat="1" ht="22.5" customHeight="1">
      <c r="J78" s="334"/>
      <c r="K78" s="318"/>
      <c r="L78" s="318"/>
      <c r="M78" s="318"/>
      <c r="N78" s="318"/>
      <c r="O78" s="318"/>
      <c r="P78" s="318"/>
      <c r="Q78" s="318"/>
      <c r="R78" s="334"/>
      <c r="S78" s="318"/>
      <c r="T78" s="318"/>
      <c r="U78" s="318"/>
      <c r="V78" s="318"/>
      <c r="W78" s="318"/>
      <c r="X78" s="318"/>
      <c r="Y78" s="318"/>
      <c r="Z78" s="334"/>
      <c r="AA78" s="318"/>
      <c r="AB78" s="318"/>
      <c r="AC78" s="318"/>
      <c r="AD78" s="318"/>
      <c r="AE78" s="318"/>
      <c r="AF78" s="318"/>
      <c r="AG78" s="318"/>
      <c r="AH78" s="318"/>
      <c r="AI78" s="318"/>
      <c r="AJ78" s="318"/>
      <c r="AK78" s="334"/>
      <c r="AL78" s="318"/>
      <c r="AM78" s="318"/>
      <c r="AN78" s="318"/>
      <c r="AO78" s="318"/>
      <c r="AP78" s="318"/>
      <c r="AQ78" s="318"/>
      <c r="AR78" s="318"/>
      <c r="AS78" s="334"/>
      <c r="AT78" s="318"/>
      <c r="AU78" s="318"/>
      <c r="AV78" s="318"/>
      <c r="AW78" s="318"/>
      <c r="AX78" s="318"/>
      <c r="AY78" s="318"/>
      <c r="AZ78" s="318"/>
      <c r="BA78" s="318"/>
      <c r="BB78" s="334"/>
      <c r="BC78" s="318"/>
      <c r="BD78" s="318"/>
      <c r="BE78" s="318"/>
      <c r="BF78" s="318"/>
      <c r="BG78" s="318"/>
      <c r="BH78" s="318"/>
      <c r="BI78" s="318"/>
      <c r="BJ78" s="318"/>
      <c r="BK78" s="334"/>
      <c r="BL78" s="318"/>
      <c r="BM78" s="318"/>
      <c r="BN78" s="318"/>
      <c r="BO78" s="318"/>
      <c r="BP78" s="318"/>
      <c r="BQ78" s="318"/>
    </row>
    <row r="79" spans="10:69" s="121" customFormat="1" ht="22.5" customHeight="1">
      <c r="J79" s="334"/>
      <c r="K79" s="318"/>
      <c r="L79" s="318"/>
      <c r="M79" s="318"/>
      <c r="N79" s="318"/>
      <c r="O79" s="318"/>
      <c r="P79" s="318"/>
      <c r="Q79" s="318"/>
      <c r="R79" s="334"/>
      <c r="S79" s="318"/>
      <c r="T79" s="318"/>
      <c r="U79" s="318"/>
      <c r="V79" s="318"/>
      <c r="W79" s="318"/>
      <c r="X79" s="318"/>
      <c r="Y79" s="318"/>
      <c r="Z79" s="334"/>
      <c r="AA79" s="318"/>
      <c r="AB79" s="318"/>
      <c r="AC79" s="318"/>
      <c r="AD79" s="318"/>
      <c r="AE79" s="318"/>
      <c r="AF79" s="318"/>
      <c r="AG79" s="318"/>
      <c r="AH79" s="318"/>
      <c r="AI79" s="318"/>
      <c r="AJ79" s="318"/>
      <c r="AK79" s="334"/>
      <c r="AL79" s="318"/>
      <c r="AM79" s="318"/>
      <c r="AN79" s="318"/>
      <c r="AO79" s="318"/>
      <c r="AP79" s="318"/>
      <c r="AQ79" s="318"/>
      <c r="AR79" s="318"/>
      <c r="AS79" s="334"/>
      <c r="AT79" s="318"/>
      <c r="AU79" s="318"/>
      <c r="AV79" s="318"/>
      <c r="AW79" s="318"/>
      <c r="AX79" s="318"/>
      <c r="AY79" s="318"/>
      <c r="AZ79" s="318"/>
      <c r="BA79" s="318"/>
      <c r="BB79" s="334"/>
      <c r="BC79" s="318"/>
      <c r="BD79" s="318"/>
      <c r="BE79" s="318"/>
      <c r="BF79" s="318"/>
      <c r="BG79" s="318"/>
      <c r="BH79" s="318"/>
      <c r="BI79" s="318"/>
      <c r="BJ79" s="318"/>
      <c r="BK79" s="334"/>
      <c r="BL79" s="318"/>
      <c r="BM79" s="318"/>
      <c r="BN79" s="318"/>
      <c r="BO79" s="318"/>
      <c r="BP79" s="318"/>
      <c r="BQ79" s="318"/>
    </row>
    <row r="80" spans="10:69" s="121" customFormat="1" ht="22.5" customHeight="1">
      <c r="J80" s="334"/>
      <c r="K80" s="318"/>
      <c r="L80" s="318"/>
      <c r="M80" s="318"/>
      <c r="N80" s="318"/>
      <c r="O80" s="318"/>
      <c r="P80" s="318"/>
      <c r="Q80" s="318"/>
      <c r="R80" s="334"/>
      <c r="S80" s="318"/>
      <c r="T80" s="318"/>
      <c r="U80" s="318"/>
      <c r="V80" s="318"/>
      <c r="W80" s="318"/>
      <c r="X80" s="318"/>
      <c r="Y80" s="318"/>
      <c r="Z80" s="334"/>
      <c r="AA80" s="318"/>
      <c r="AB80" s="318"/>
      <c r="AC80" s="318"/>
      <c r="AD80" s="318"/>
      <c r="AE80" s="318"/>
      <c r="AF80" s="318"/>
      <c r="AG80" s="318"/>
      <c r="AH80" s="318"/>
      <c r="AI80" s="318"/>
      <c r="AJ80" s="318"/>
      <c r="AK80" s="334"/>
      <c r="AL80" s="318"/>
      <c r="AM80" s="318"/>
      <c r="AN80" s="318"/>
      <c r="AO80" s="318"/>
      <c r="AP80" s="318"/>
      <c r="AQ80" s="318"/>
      <c r="AR80" s="318"/>
      <c r="AS80" s="334"/>
      <c r="AT80" s="318"/>
      <c r="AU80" s="318"/>
      <c r="AV80" s="318"/>
      <c r="AW80" s="318"/>
      <c r="AX80" s="318"/>
      <c r="AY80" s="318"/>
      <c r="AZ80" s="318"/>
      <c r="BA80" s="318"/>
      <c r="BB80" s="334"/>
      <c r="BC80" s="318"/>
      <c r="BD80" s="318"/>
      <c r="BE80" s="318"/>
      <c r="BF80" s="318"/>
      <c r="BG80" s="318"/>
      <c r="BH80" s="318"/>
      <c r="BI80" s="318"/>
      <c r="BJ80" s="318"/>
      <c r="BK80" s="334"/>
      <c r="BL80" s="318"/>
      <c r="BM80" s="318"/>
      <c r="BN80" s="318"/>
      <c r="BO80" s="318"/>
      <c r="BP80" s="318"/>
      <c r="BQ80" s="318"/>
    </row>
    <row r="81" spans="10:69" s="121" customFormat="1" ht="22.5" customHeight="1">
      <c r="J81" s="334"/>
      <c r="K81" s="318"/>
      <c r="L81" s="318"/>
      <c r="M81" s="318"/>
      <c r="N81" s="318"/>
      <c r="O81" s="318"/>
      <c r="P81" s="318"/>
      <c r="Q81" s="318"/>
      <c r="R81" s="334"/>
      <c r="S81" s="318"/>
      <c r="T81" s="318"/>
      <c r="U81" s="318"/>
      <c r="V81" s="318"/>
      <c r="W81" s="318"/>
      <c r="X81" s="318"/>
      <c r="Y81" s="318"/>
      <c r="Z81" s="334"/>
      <c r="AA81" s="318"/>
      <c r="AB81" s="318"/>
      <c r="AC81" s="318"/>
      <c r="AD81" s="318"/>
      <c r="AE81" s="318"/>
      <c r="AF81" s="318"/>
      <c r="AG81" s="318"/>
      <c r="AH81" s="318"/>
      <c r="AI81" s="318"/>
      <c r="AJ81" s="318"/>
      <c r="AK81" s="334"/>
      <c r="AL81" s="318"/>
      <c r="AM81" s="318"/>
      <c r="AN81" s="318"/>
      <c r="AO81" s="318"/>
      <c r="AP81" s="318"/>
      <c r="AQ81" s="318"/>
      <c r="AR81" s="318"/>
      <c r="AS81" s="334"/>
      <c r="AT81" s="318"/>
      <c r="AU81" s="318"/>
      <c r="AV81" s="318"/>
      <c r="AW81" s="318"/>
      <c r="AX81" s="318"/>
      <c r="AY81" s="318"/>
      <c r="AZ81" s="318"/>
      <c r="BA81" s="318"/>
      <c r="BB81" s="334"/>
      <c r="BC81" s="318"/>
      <c r="BD81" s="318"/>
      <c r="BE81" s="318"/>
      <c r="BF81" s="318"/>
      <c r="BG81" s="318"/>
      <c r="BH81" s="318"/>
      <c r="BI81" s="318"/>
      <c r="BJ81" s="318"/>
      <c r="BK81" s="334"/>
      <c r="BL81" s="318"/>
      <c r="BM81" s="318"/>
      <c r="BN81" s="318"/>
      <c r="BO81" s="318"/>
      <c r="BP81" s="318"/>
      <c r="BQ81" s="318"/>
    </row>
    <row r="82" spans="10:69" s="121" customFormat="1" ht="22.5" customHeight="1">
      <c r="J82" s="334"/>
      <c r="K82" s="318"/>
      <c r="L82" s="318"/>
      <c r="M82" s="318"/>
      <c r="N82" s="318"/>
      <c r="O82" s="318"/>
      <c r="P82" s="318"/>
      <c r="Q82" s="318"/>
      <c r="R82" s="334"/>
      <c r="S82" s="318"/>
      <c r="T82" s="318"/>
      <c r="U82" s="318"/>
      <c r="V82" s="318"/>
      <c r="W82" s="318"/>
      <c r="X82" s="318"/>
      <c r="Y82" s="318"/>
      <c r="Z82" s="334"/>
      <c r="AA82" s="318"/>
      <c r="AB82" s="318"/>
      <c r="AC82" s="318"/>
      <c r="AD82" s="318"/>
      <c r="AE82" s="318"/>
      <c r="AF82" s="318"/>
      <c r="AG82" s="318"/>
      <c r="AH82" s="318"/>
      <c r="AI82" s="318"/>
      <c r="AJ82" s="318"/>
      <c r="AK82" s="334"/>
      <c r="AL82" s="318"/>
      <c r="AM82" s="318"/>
      <c r="AN82" s="318"/>
      <c r="AO82" s="318"/>
      <c r="AP82" s="318"/>
      <c r="AQ82" s="318"/>
      <c r="AR82" s="318"/>
      <c r="AS82" s="334"/>
      <c r="AT82" s="318"/>
      <c r="AU82" s="318"/>
      <c r="AV82" s="318"/>
      <c r="AW82" s="318"/>
      <c r="AX82" s="318"/>
      <c r="AY82" s="318"/>
      <c r="AZ82" s="318"/>
      <c r="BA82" s="318"/>
      <c r="BB82" s="334"/>
      <c r="BC82" s="318"/>
      <c r="BD82" s="318"/>
      <c r="BE82" s="318"/>
      <c r="BF82" s="318"/>
      <c r="BG82" s="318"/>
      <c r="BH82" s="318"/>
      <c r="BI82" s="318"/>
      <c r="BJ82" s="318"/>
      <c r="BK82" s="334"/>
      <c r="BL82" s="318"/>
      <c r="BM82" s="318"/>
      <c r="BN82" s="318"/>
      <c r="BO82" s="318"/>
      <c r="BP82" s="318"/>
      <c r="BQ82" s="318"/>
    </row>
    <row r="83" spans="10:69" s="121" customFormat="1" ht="22.5" customHeight="1">
      <c r="J83" s="334"/>
      <c r="K83" s="318"/>
      <c r="L83" s="318"/>
      <c r="M83" s="318"/>
      <c r="N83" s="318"/>
      <c r="O83" s="318"/>
      <c r="P83" s="318"/>
      <c r="Q83" s="318"/>
      <c r="R83" s="334"/>
      <c r="S83" s="318"/>
      <c r="T83" s="318"/>
      <c r="U83" s="318"/>
      <c r="V83" s="318"/>
      <c r="W83" s="318"/>
      <c r="X83" s="318"/>
      <c r="Y83" s="318"/>
      <c r="Z83" s="334"/>
      <c r="AA83" s="318"/>
      <c r="AB83" s="318"/>
      <c r="AC83" s="318"/>
      <c r="AD83" s="318"/>
      <c r="AE83" s="318"/>
      <c r="AF83" s="318"/>
      <c r="AG83" s="318"/>
      <c r="AH83" s="318"/>
      <c r="AI83" s="318"/>
      <c r="AJ83" s="318"/>
      <c r="AK83" s="334"/>
      <c r="AL83" s="318"/>
      <c r="AM83" s="318"/>
      <c r="AN83" s="318"/>
      <c r="AO83" s="318"/>
      <c r="AP83" s="318"/>
      <c r="AQ83" s="318"/>
      <c r="AR83" s="318"/>
      <c r="AS83" s="334"/>
      <c r="AT83" s="318"/>
      <c r="AU83" s="318"/>
      <c r="AV83" s="318"/>
      <c r="AW83" s="318"/>
      <c r="AX83" s="318"/>
      <c r="AY83" s="318"/>
      <c r="AZ83" s="318"/>
      <c r="BA83" s="318"/>
      <c r="BB83" s="334"/>
      <c r="BC83" s="318"/>
      <c r="BD83" s="318"/>
      <c r="BE83" s="318"/>
      <c r="BF83" s="318"/>
      <c r="BG83" s="318"/>
      <c r="BH83" s="318"/>
      <c r="BI83" s="318"/>
      <c r="BJ83" s="318"/>
      <c r="BK83" s="334"/>
      <c r="BL83" s="318"/>
      <c r="BM83" s="318"/>
      <c r="BN83" s="318"/>
      <c r="BO83" s="318"/>
      <c r="BP83" s="318"/>
      <c r="BQ83" s="318"/>
    </row>
    <row r="84" spans="10:69" s="121" customFormat="1" ht="22.5" customHeight="1">
      <c r="J84" s="334"/>
      <c r="K84" s="318"/>
      <c r="L84" s="318"/>
      <c r="M84" s="318"/>
      <c r="N84" s="318"/>
      <c r="O84" s="318"/>
      <c r="P84" s="318"/>
      <c r="Q84" s="318"/>
      <c r="R84" s="334"/>
      <c r="S84" s="318"/>
      <c r="T84" s="318"/>
      <c r="U84" s="318"/>
      <c r="V84" s="318"/>
      <c r="W84" s="318"/>
      <c r="X84" s="318"/>
      <c r="Y84" s="318"/>
      <c r="Z84" s="334"/>
      <c r="AA84" s="318"/>
      <c r="AB84" s="318"/>
      <c r="AC84" s="318"/>
      <c r="AD84" s="318"/>
      <c r="AE84" s="318"/>
      <c r="AF84" s="318"/>
      <c r="AG84" s="318"/>
      <c r="AH84" s="318"/>
      <c r="AI84" s="318"/>
      <c r="AJ84" s="318"/>
      <c r="AK84" s="334"/>
      <c r="AL84" s="318"/>
      <c r="AM84" s="318"/>
      <c r="AN84" s="318"/>
      <c r="AO84" s="318"/>
      <c r="AP84" s="318"/>
      <c r="AQ84" s="318"/>
      <c r="AR84" s="318"/>
      <c r="AS84" s="334"/>
      <c r="AT84" s="318"/>
      <c r="AU84" s="318"/>
      <c r="AV84" s="318"/>
      <c r="AW84" s="318"/>
      <c r="AX84" s="318"/>
      <c r="AY84" s="318"/>
      <c r="AZ84" s="318"/>
      <c r="BA84" s="318"/>
      <c r="BB84" s="334"/>
      <c r="BC84" s="318"/>
      <c r="BD84" s="318"/>
      <c r="BE84" s="318"/>
      <c r="BF84" s="318"/>
      <c r="BG84" s="318"/>
      <c r="BH84" s="318"/>
      <c r="BI84" s="318"/>
      <c r="BJ84" s="318"/>
      <c r="BK84" s="334"/>
      <c r="BL84" s="318"/>
      <c r="BM84" s="318"/>
      <c r="BN84" s="318"/>
      <c r="BO84" s="318"/>
      <c r="BP84" s="318"/>
      <c r="BQ84" s="318"/>
    </row>
    <row r="85" spans="10:69" s="121" customFormat="1" ht="22.5" customHeight="1">
      <c r="J85" s="334"/>
      <c r="K85" s="318"/>
      <c r="L85" s="318"/>
      <c r="M85" s="318"/>
      <c r="N85" s="318"/>
      <c r="O85" s="318"/>
      <c r="P85" s="318"/>
      <c r="Q85" s="318"/>
      <c r="R85" s="334"/>
      <c r="S85" s="318"/>
      <c r="T85" s="318"/>
      <c r="U85" s="318"/>
      <c r="V85" s="318"/>
      <c r="W85" s="318"/>
      <c r="X85" s="318"/>
      <c r="Y85" s="318"/>
      <c r="Z85" s="334"/>
      <c r="AA85" s="318"/>
      <c r="AB85" s="318"/>
      <c r="AC85" s="318"/>
      <c r="AD85" s="318"/>
      <c r="AE85" s="318"/>
      <c r="AF85" s="318"/>
      <c r="AG85" s="318"/>
      <c r="AH85" s="318"/>
      <c r="AI85" s="318"/>
      <c r="AJ85" s="318"/>
      <c r="AK85" s="334"/>
      <c r="AL85" s="318"/>
      <c r="AM85" s="318"/>
      <c r="AN85" s="318"/>
      <c r="AO85" s="318"/>
      <c r="AP85" s="318"/>
      <c r="AQ85" s="318"/>
      <c r="AR85" s="318"/>
      <c r="AS85" s="334"/>
      <c r="AT85" s="318"/>
      <c r="AU85" s="318"/>
      <c r="AV85" s="318"/>
      <c r="AW85" s="318"/>
      <c r="AX85" s="318"/>
      <c r="AY85" s="318"/>
      <c r="AZ85" s="318"/>
      <c r="BA85" s="318"/>
      <c r="BB85" s="334"/>
      <c r="BC85" s="318"/>
      <c r="BD85" s="318"/>
      <c r="BE85" s="318"/>
      <c r="BF85" s="318"/>
      <c r="BG85" s="318"/>
      <c r="BH85" s="318"/>
      <c r="BI85" s="318"/>
      <c r="BJ85" s="318"/>
      <c r="BK85" s="334"/>
      <c r="BL85" s="318"/>
      <c r="BM85" s="318"/>
      <c r="BN85" s="318"/>
      <c r="BO85" s="318"/>
      <c r="BP85" s="318"/>
      <c r="BQ85" s="318"/>
    </row>
    <row r="86" spans="10:69" s="121" customFormat="1" ht="22.5" customHeight="1">
      <c r="J86" s="334"/>
      <c r="K86" s="318"/>
      <c r="L86" s="318"/>
      <c r="M86" s="318"/>
      <c r="N86" s="318"/>
      <c r="O86" s="318"/>
      <c r="P86" s="318"/>
      <c r="Q86" s="318"/>
      <c r="R86" s="334"/>
      <c r="S86" s="318"/>
      <c r="T86" s="318"/>
      <c r="U86" s="318"/>
      <c r="V86" s="318"/>
      <c r="W86" s="318"/>
      <c r="X86" s="318"/>
      <c r="Y86" s="318"/>
      <c r="Z86" s="334"/>
      <c r="AA86" s="318"/>
      <c r="AB86" s="318"/>
      <c r="AC86" s="318"/>
      <c r="AD86" s="318"/>
      <c r="AE86" s="318"/>
      <c r="AF86" s="318"/>
      <c r="AG86" s="318"/>
      <c r="AH86" s="318"/>
      <c r="AI86" s="318"/>
      <c r="AJ86" s="318"/>
      <c r="AK86" s="334"/>
      <c r="AL86" s="318"/>
      <c r="AM86" s="318"/>
      <c r="AN86" s="318"/>
      <c r="AO86" s="318"/>
      <c r="AP86" s="318"/>
      <c r="AQ86" s="318"/>
      <c r="AR86" s="318"/>
      <c r="AS86" s="334"/>
      <c r="AT86" s="318"/>
      <c r="AU86" s="318"/>
      <c r="AV86" s="318"/>
      <c r="AW86" s="318"/>
      <c r="AX86" s="318"/>
      <c r="AY86" s="318"/>
      <c r="AZ86" s="318"/>
      <c r="BA86" s="318"/>
      <c r="BB86" s="334"/>
      <c r="BC86" s="318"/>
      <c r="BD86" s="318"/>
      <c r="BE86" s="318"/>
      <c r="BF86" s="318"/>
      <c r="BG86" s="318"/>
      <c r="BH86" s="318"/>
      <c r="BI86" s="318"/>
      <c r="BJ86" s="318"/>
      <c r="BK86" s="334"/>
      <c r="BL86" s="318"/>
      <c r="BM86" s="318"/>
      <c r="BN86" s="318"/>
      <c r="BO86" s="318"/>
      <c r="BP86" s="318"/>
      <c r="BQ86" s="318"/>
    </row>
    <row r="87" spans="10:69" s="121" customFormat="1" ht="22.5" customHeight="1">
      <c r="J87" s="334"/>
      <c r="K87" s="318"/>
      <c r="L87" s="318"/>
      <c r="M87" s="318"/>
      <c r="N87" s="318"/>
      <c r="O87" s="318"/>
      <c r="P87" s="318"/>
      <c r="Q87" s="318"/>
      <c r="R87" s="334"/>
      <c r="S87" s="318"/>
      <c r="T87" s="318"/>
      <c r="U87" s="318"/>
      <c r="V87" s="318"/>
      <c r="W87" s="318"/>
      <c r="X87" s="318"/>
      <c r="Y87" s="318"/>
      <c r="Z87" s="334"/>
      <c r="AA87" s="318"/>
      <c r="AB87" s="318"/>
      <c r="AC87" s="318"/>
      <c r="AD87" s="318"/>
      <c r="AE87" s="318"/>
      <c r="AF87" s="318"/>
      <c r="AG87" s="318"/>
      <c r="AH87" s="318"/>
      <c r="AI87" s="318"/>
      <c r="AJ87" s="318"/>
      <c r="AK87" s="334"/>
      <c r="AL87" s="318"/>
      <c r="AM87" s="318"/>
      <c r="AN87" s="318"/>
      <c r="AO87" s="318"/>
      <c r="AP87" s="318"/>
      <c r="AQ87" s="318"/>
      <c r="AR87" s="318"/>
      <c r="AS87" s="334"/>
      <c r="AT87" s="318"/>
      <c r="AU87" s="318"/>
      <c r="AV87" s="318"/>
      <c r="AW87" s="318"/>
      <c r="AX87" s="318"/>
      <c r="AY87" s="318"/>
      <c r="AZ87" s="318"/>
      <c r="BA87" s="318"/>
      <c r="BB87" s="334"/>
      <c r="BC87" s="318"/>
      <c r="BD87" s="318"/>
      <c r="BE87" s="318"/>
      <c r="BF87" s="318"/>
      <c r="BG87" s="318"/>
      <c r="BH87" s="318"/>
      <c r="BI87" s="318"/>
      <c r="BJ87" s="318"/>
      <c r="BK87" s="334"/>
      <c r="BL87" s="318"/>
      <c r="BM87" s="318"/>
      <c r="BN87" s="318"/>
      <c r="BO87" s="318"/>
      <c r="BP87" s="318"/>
      <c r="BQ87" s="318"/>
    </row>
    <row r="88" spans="10:69" s="121" customFormat="1" ht="22.5" customHeight="1">
      <c r="J88" s="334"/>
      <c r="K88" s="318"/>
      <c r="L88" s="318"/>
      <c r="M88" s="318"/>
      <c r="N88" s="318"/>
      <c r="O88" s="318"/>
      <c r="P88" s="318"/>
      <c r="Q88" s="318"/>
      <c r="R88" s="334"/>
      <c r="S88" s="318"/>
      <c r="T88" s="318"/>
      <c r="U88" s="318"/>
      <c r="V88" s="318"/>
      <c r="W88" s="318"/>
      <c r="X88" s="318"/>
      <c r="Y88" s="318"/>
      <c r="Z88" s="334"/>
      <c r="AA88" s="318"/>
      <c r="AB88" s="318"/>
      <c r="AC88" s="318"/>
      <c r="AD88" s="318"/>
      <c r="AE88" s="318"/>
      <c r="AF88" s="318"/>
      <c r="AG88" s="318"/>
      <c r="AH88" s="318"/>
      <c r="AI88" s="318"/>
      <c r="AJ88" s="318"/>
      <c r="AK88" s="334"/>
      <c r="AL88" s="318"/>
      <c r="AM88" s="318"/>
      <c r="AN88" s="318"/>
      <c r="AO88" s="318"/>
      <c r="AP88" s="318"/>
      <c r="AQ88" s="318"/>
      <c r="AR88" s="318"/>
      <c r="AS88" s="334"/>
      <c r="AT88" s="318"/>
      <c r="AU88" s="318"/>
      <c r="AV88" s="318"/>
      <c r="AW88" s="318"/>
      <c r="AX88" s="318"/>
      <c r="AY88" s="318"/>
      <c r="AZ88" s="318"/>
      <c r="BA88" s="318"/>
      <c r="BB88" s="334"/>
      <c r="BC88" s="318"/>
      <c r="BD88" s="318"/>
      <c r="BE88" s="318"/>
      <c r="BF88" s="318"/>
      <c r="BG88" s="318"/>
      <c r="BH88" s="318"/>
      <c r="BI88" s="318"/>
      <c r="BJ88" s="318"/>
      <c r="BK88" s="334"/>
      <c r="BL88" s="318"/>
      <c r="BM88" s="318"/>
      <c r="BN88" s="318"/>
      <c r="BO88" s="318"/>
      <c r="BP88" s="318"/>
      <c r="BQ88" s="318"/>
    </row>
    <row r="89" spans="10:69" s="121" customFormat="1" ht="22.5" customHeight="1">
      <c r="J89" s="334"/>
      <c r="K89" s="318"/>
      <c r="L89" s="318"/>
      <c r="M89" s="318"/>
      <c r="N89" s="318"/>
      <c r="O89" s="318"/>
      <c r="P89" s="318"/>
      <c r="Q89" s="318"/>
      <c r="R89" s="334"/>
      <c r="S89" s="318"/>
      <c r="T89" s="318"/>
      <c r="U89" s="318"/>
      <c r="V89" s="318"/>
      <c r="W89" s="318"/>
      <c r="X89" s="318"/>
      <c r="Y89" s="318"/>
      <c r="Z89" s="334"/>
      <c r="AA89" s="318"/>
      <c r="AB89" s="318"/>
      <c r="AC89" s="318"/>
      <c r="AD89" s="318"/>
      <c r="AE89" s="318"/>
      <c r="AF89" s="318"/>
      <c r="AG89" s="318"/>
      <c r="AH89" s="318"/>
      <c r="AI89" s="318"/>
      <c r="AJ89" s="318"/>
      <c r="AK89" s="334"/>
      <c r="AL89" s="318"/>
      <c r="AM89" s="318"/>
      <c r="AN89" s="318"/>
      <c r="AO89" s="318"/>
      <c r="AP89" s="318"/>
      <c r="AQ89" s="318"/>
      <c r="AR89" s="318"/>
      <c r="AS89" s="334"/>
      <c r="AT89" s="318"/>
      <c r="AU89" s="318"/>
      <c r="AV89" s="318"/>
      <c r="AW89" s="318"/>
      <c r="AX89" s="318"/>
      <c r="AY89" s="318"/>
      <c r="AZ89" s="318"/>
      <c r="BA89" s="318"/>
      <c r="BB89" s="334"/>
      <c r="BC89" s="318"/>
      <c r="BD89" s="318"/>
      <c r="BE89" s="318"/>
      <c r="BF89" s="318"/>
      <c r="BG89" s="318"/>
      <c r="BH89" s="318"/>
      <c r="BI89" s="318"/>
      <c r="BJ89" s="318"/>
      <c r="BK89" s="334"/>
      <c r="BL89" s="318"/>
      <c r="BM89" s="318"/>
      <c r="BN89" s="318"/>
      <c r="BO89" s="318"/>
      <c r="BP89" s="318"/>
      <c r="BQ89" s="318"/>
    </row>
    <row r="90" spans="10:69" s="121" customFormat="1" ht="22.5" customHeight="1">
      <c r="J90" s="334"/>
      <c r="K90" s="318"/>
      <c r="L90" s="318"/>
      <c r="M90" s="318"/>
      <c r="N90" s="318"/>
      <c r="O90" s="318"/>
      <c r="P90" s="318"/>
      <c r="Q90" s="318"/>
      <c r="R90" s="334"/>
      <c r="S90" s="318"/>
      <c r="T90" s="318"/>
      <c r="U90" s="318"/>
      <c r="V90" s="318"/>
      <c r="W90" s="318"/>
      <c r="X90" s="318"/>
      <c r="Y90" s="318"/>
      <c r="Z90" s="334"/>
      <c r="AA90" s="318"/>
      <c r="AB90" s="318"/>
      <c r="AC90" s="318"/>
      <c r="AD90" s="318"/>
      <c r="AE90" s="318"/>
      <c r="AF90" s="318"/>
      <c r="AG90" s="318"/>
      <c r="AH90" s="318"/>
      <c r="AI90" s="318"/>
      <c r="AJ90" s="318"/>
      <c r="AK90" s="334"/>
      <c r="AL90" s="318"/>
      <c r="AM90" s="318"/>
      <c r="AN90" s="318"/>
      <c r="AO90" s="318"/>
      <c r="AP90" s="318"/>
      <c r="AQ90" s="318"/>
      <c r="AR90" s="318"/>
      <c r="AS90" s="334"/>
      <c r="AT90" s="318"/>
      <c r="AU90" s="318"/>
      <c r="AV90" s="318"/>
      <c r="AW90" s="318"/>
      <c r="AX90" s="318"/>
      <c r="AY90" s="318"/>
      <c r="AZ90" s="318"/>
      <c r="BA90" s="318"/>
      <c r="BB90" s="334"/>
      <c r="BC90" s="318"/>
      <c r="BD90" s="318"/>
      <c r="BE90" s="318"/>
      <c r="BF90" s="318"/>
      <c r="BG90" s="318"/>
      <c r="BH90" s="318"/>
      <c r="BI90" s="318"/>
      <c r="BJ90" s="318"/>
      <c r="BK90" s="334"/>
      <c r="BL90" s="318"/>
      <c r="BM90" s="318"/>
      <c r="BN90" s="318"/>
      <c r="BO90" s="318"/>
      <c r="BP90" s="318"/>
      <c r="BQ90" s="318"/>
    </row>
    <row r="91" spans="10:69" s="121" customFormat="1" ht="22.5" customHeight="1">
      <c r="J91" s="334"/>
      <c r="K91" s="318"/>
      <c r="L91" s="318"/>
      <c r="M91" s="318"/>
      <c r="N91" s="318"/>
      <c r="O91" s="318"/>
      <c r="P91" s="318"/>
      <c r="Q91" s="318"/>
      <c r="R91" s="334"/>
      <c r="S91" s="318"/>
      <c r="T91" s="318"/>
      <c r="U91" s="318"/>
      <c r="V91" s="318"/>
      <c r="W91" s="318"/>
      <c r="X91" s="318"/>
      <c r="Y91" s="318"/>
      <c r="Z91" s="334"/>
      <c r="AA91" s="318"/>
      <c r="AB91" s="318"/>
      <c r="AC91" s="318"/>
      <c r="AD91" s="318"/>
      <c r="AE91" s="318"/>
      <c r="AF91" s="318"/>
      <c r="AG91" s="318"/>
      <c r="AH91" s="318"/>
      <c r="AI91" s="318"/>
      <c r="AJ91" s="318"/>
      <c r="AK91" s="334"/>
      <c r="AL91" s="318"/>
      <c r="AM91" s="318"/>
      <c r="AN91" s="318"/>
      <c r="AO91" s="318"/>
      <c r="AP91" s="318"/>
      <c r="AQ91" s="318"/>
      <c r="AR91" s="318"/>
      <c r="AS91" s="334"/>
      <c r="AT91" s="318"/>
      <c r="AU91" s="318"/>
      <c r="AV91" s="318"/>
      <c r="AW91" s="318"/>
      <c r="AX91" s="318"/>
      <c r="AY91" s="318"/>
      <c r="AZ91" s="318"/>
      <c r="BA91" s="318"/>
      <c r="BB91" s="334"/>
      <c r="BC91" s="318"/>
      <c r="BD91" s="318"/>
      <c r="BE91" s="318"/>
      <c r="BF91" s="318"/>
      <c r="BG91" s="318"/>
      <c r="BH91" s="318"/>
      <c r="BI91" s="318"/>
      <c r="BJ91" s="318"/>
      <c r="BK91" s="334"/>
      <c r="BL91" s="318"/>
      <c r="BM91" s="318"/>
      <c r="BN91" s="318"/>
      <c r="BO91" s="318"/>
      <c r="BP91" s="318"/>
      <c r="BQ91" s="318"/>
    </row>
    <row r="92" spans="10:69" s="121" customFormat="1" ht="22.5" customHeight="1">
      <c r="J92" s="334"/>
      <c r="K92" s="318"/>
      <c r="L92" s="318"/>
      <c r="M92" s="318"/>
      <c r="N92" s="318"/>
      <c r="O92" s="318"/>
      <c r="P92" s="318"/>
      <c r="Q92" s="318"/>
      <c r="R92" s="334"/>
      <c r="S92" s="318"/>
      <c r="T92" s="318"/>
      <c r="U92" s="318"/>
      <c r="V92" s="318"/>
      <c r="W92" s="318"/>
      <c r="X92" s="318"/>
      <c r="Y92" s="318"/>
      <c r="Z92" s="334"/>
      <c r="AA92" s="318"/>
      <c r="AB92" s="318"/>
      <c r="AC92" s="318"/>
      <c r="AD92" s="318"/>
      <c r="AE92" s="318"/>
      <c r="AF92" s="318"/>
      <c r="AG92" s="318"/>
      <c r="AH92" s="318"/>
      <c r="AI92" s="318"/>
      <c r="AJ92" s="318"/>
      <c r="AK92" s="334"/>
      <c r="AL92" s="318"/>
      <c r="AM92" s="318"/>
      <c r="AN92" s="318"/>
      <c r="AO92" s="318"/>
      <c r="AP92" s="318"/>
      <c r="AQ92" s="318"/>
      <c r="AR92" s="318"/>
      <c r="AS92" s="334"/>
      <c r="AT92" s="318"/>
      <c r="AU92" s="318"/>
      <c r="AV92" s="318"/>
      <c r="AW92" s="318"/>
      <c r="AX92" s="318"/>
      <c r="AY92" s="318"/>
      <c r="AZ92" s="318"/>
      <c r="BA92" s="318"/>
      <c r="BB92" s="334"/>
      <c r="BC92" s="318"/>
      <c r="BD92" s="318"/>
      <c r="BE92" s="318"/>
      <c r="BF92" s="318"/>
      <c r="BG92" s="318"/>
      <c r="BH92" s="318"/>
      <c r="BI92" s="318"/>
      <c r="BJ92" s="318"/>
      <c r="BK92" s="334"/>
      <c r="BL92" s="318"/>
      <c r="BM92" s="318"/>
      <c r="BN92" s="318"/>
      <c r="BO92" s="318"/>
      <c r="BP92" s="318"/>
      <c r="BQ92" s="318"/>
    </row>
    <row r="93" spans="10:69" s="121" customFormat="1" ht="22.5" customHeight="1">
      <c r="J93" s="334"/>
      <c r="K93" s="318"/>
      <c r="L93" s="318"/>
      <c r="M93" s="318"/>
      <c r="N93" s="318"/>
      <c r="O93" s="318"/>
      <c r="P93" s="318"/>
      <c r="Q93" s="318"/>
      <c r="R93" s="334"/>
      <c r="S93" s="318"/>
      <c r="T93" s="318"/>
      <c r="U93" s="318"/>
      <c r="V93" s="318"/>
      <c r="W93" s="318"/>
      <c r="X93" s="318"/>
      <c r="Y93" s="318"/>
      <c r="Z93" s="334"/>
      <c r="AA93" s="318"/>
      <c r="AB93" s="318"/>
      <c r="AC93" s="318"/>
      <c r="AD93" s="318"/>
      <c r="AE93" s="318"/>
      <c r="AF93" s="318"/>
      <c r="AG93" s="318"/>
      <c r="AH93" s="318"/>
      <c r="AI93" s="318"/>
      <c r="AJ93" s="318"/>
      <c r="AK93" s="334"/>
      <c r="AL93" s="318"/>
      <c r="AM93" s="318"/>
      <c r="AN93" s="318"/>
      <c r="AO93" s="318"/>
      <c r="AP93" s="318"/>
      <c r="AQ93" s="318"/>
      <c r="AR93" s="318"/>
      <c r="AS93" s="334"/>
      <c r="AT93" s="318"/>
      <c r="AU93" s="318"/>
      <c r="AV93" s="318"/>
      <c r="AW93" s="318"/>
      <c r="AX93" s="318"/>
      <c r="AY93" s="318"/>
      <c r="AZ93" s="318"/>
      <c r="BA93" s="318"/>
      <c r="BB93" s="334"/>
      <c r="BC93" s="318"/>
      <c r="BD93" s="318"/>
      <c r="BE93" s="318"/>
      <c r="BF93" s="318"/>
      <c r="BG93" s="318"/>
      <c r="BH93" s="318"/>
      <c r="BI93" s="318"/>
      <c r="BJ93" s="318"/>
      <c r="BK93" s="334"/>
      <c r="BL93" s="318"/>
      <c r="BM93" s="318"/>
      <c r="BN93" s="318"/>
      <c r="BO93" s="318"/>
      <c r="BP93" s="318"/>
      <c r="BQ93" s="318"/>
    </row>
    <row r="94" spans="10:69" s="121" customFormat="1" ht="22.5" customHeight="1">
      <c r="J94" s="334"/>
      <c r="K94" s="318"/>
      <c r="L94" s="318"/>
      <c r="M94" s="318"/>
      <c r="N94" s="318"/>
      <c r="O94" s="318"/>
      <c r="P94" s="318"/>
      <c r="Q94" s="318"/>
      <c r="R94" s="334"/>
      <c r="S94" s="318"/>
      <c r="T94" s="318"/>
      <c r="U94" s="318"/>
      <c r="V94" s="318"/>
      <c r="W94" s="318"/>
      <c r="X94" s="318"/>
      <c r="Y94" s="318"/>
      <c r="Z94" s="334"/>
      <c r="AA94" s="318"/>
      <c r="AB94" s="318"/>
      <c r="AC94" s="318"/>
      <c r="AD94" s="318"/>
      <c r="AE94" s="318"/>
      <c r="AF94" s="318"/>
      <c r="AG94" s="318"/>
      <c r="AH94" s="318"/>
      <c r="AI94" s="318"/>
      <c r="AJ94" s="318"/>
      <c r="AK94" s="334"/>
      <c r="AL94" s="318"/>
      <c r="AM94" s="318"/>
      <c r="AN94" s="318"/>
      <c r="AO94" s="318"/>
      <c r="AP94" s="318"/>
      <c r="AQ94" s="318"/>
      <c r="AR94" s="318"/>
      <c r="AS94" s="334"/>
      <c r="AT94" s="318"/>
      <c r="AU94" s="318"/>
      <c r="AV94" s="318"/>
      <c r="AW94" s="318"/>
      <c r="AX94" s="318"/>
      <c r="AY94" s="318"/>
      <c r="AZ94" s="318"/>
      <c r="BA94" s="318"/>
      <c r="BB94" s="334"/>
      <c r="BC94" s="318"/>
      <c r="BD94" s="318"/>
      <c r="BE94" s="318"/>
      <c r="BF94" s="318"/>
      <c r="BG94" s="318"/>
      <c r="BH94" s="318"/>
      <c r="BI94" s="318"/>
      <c r="BJ94" s="318"/>
      <c r="BK94" s="334"/>
      <c r="BL94" s="318"/>
      <c r="BM94" s="318"/>
      <c r="BN94" s="318"/>
      <c r="BO94" s="318"/>
      <c r="BP94" s="318"/>
      <c r="BQ94" s="318"/>
    </row>
    <row r="95" spans="10:69" s="121" customFormat="1" ht="22.5" customHeight="1">
      <c r="J95" s="334"/>
      <c r="K95" s="318"/>
      <c r="L95" s="318"/>
      <c r="M95" s="318"/>
      <c r="N95" s="318"/>
      <c r="O95" s="318"/>
      <c r="P95" s="318"/>
      <c r="Q95" s="318"/>
      <c r="R95" s="334"/>
      <c r="S95" s="318"/>
      <c r="T95" s="318"/>
      <c r="U95" s="318"/>
      <c r="V95" s="318"/>
      <c r="W95" s="318"/>
      <c r="X95" s="318"/>
      <c r="Y95" s="318"/>
      <c r="Z95" s="334"/>
      <c r="AA95" s="318"/>
      <c r="AB95" s="318"/>
      <c r="AC95" s="318"/>
      <c r="AD95" s="318"/>
      <c r="AE95" s="318"/>
      <c r="AF95" s="318"/>
      <c r="AG95" s="318"/>
      <c r="AH95" s="318"/>
      <c r="AI95" s="318"/>
      <c r="AJ95" s="318"/>
      <c r="AK95" s="334"/>
      <c r="AL95" s="318"/>
      <c r="AM95" s="318"/>
      <c r="AN95" s="318"/>
      <c r="AO95" s="318"/>
      <c r="AP95" s="318"/>
      <c r="AQ95" s="318"/>
      <c r="AR95" s="318"/>
      <c r="AS95" s="334"/>
      <c r="AT95" s="318"/>
      <c r="AU95" s="318"/>
      <c r="AV95" s="318"/>
      <c r="AW95" s="318"/>
      <c r="AX95" s="318"/>
      <c r="AY95" s="318"/>
      <c r="AZ95" s="318"/>
      <c r="BA95" s="318"/>
      <c r="BB95" s="334"/>
      <c r="BC95" s="318"/>
      <c r="BD95" s="318"/>
      <c r="BE95" s="318"/>
      <c r="BF95" s="318"/>
      <c r="BG95" s="318"/>
      <c r="BH95" s="318"/>
      <c r="BI95" s="318"/>
      <c r="BJ95" s="318"/>
      <c r="BK95" s="334"/>
      <c r="BL95" s="318"/>
      <c r="BM95" s="318"/>
      <c r="BN95" s="318"/>
      <c r="BO95" s="318"/>
      <c r="BP95" s="318"/>
      <c r="BQ95" s="318"/>
    </row>
    <row r="96" spans="10:69" s="121" customFormat="1" ht="22.5" customHeight="1">
      <c r="J96" s="334"/>
      <c r="K96" s="318"/>
      <c r="L96" s="318"/>
      <c r="M96" s="318"/>
      <c r="N96" s="318"/>
      <c r="O96" s="318"/>
      <c r="P96" s="318"/>
      <c r="Q96" s="318"/>
      <c r="R96" s="334"/>
      <c r="S96" s="318"/>
      <c r="T96" s="318"/>
      <c r="U96" s="318"/>
      <c r="V96" s="318"/>
      <c r="W96" s="318"/>
      <c r="X96" s="318"/>
      <c r="Y96" s="318"/>
      <c r="Z96" s="334"/>
      <c r="AA96" s="318"/>
      <c r="AB96" s="318"/>
      <c r="AC96" s="318"/>
      <c r="AD96" s="318"/>
      <c r="AE96" s="318"/>
      <c r="AF96" s="318"/>
      <c r="AG96" s="318"/>
      <c r="AH96" s="318"/>
      <c r="AI96" s="318"/>
      <c r="AJ96" s="318"/>
      <c r="AK96" s="334"/>
      <c r="AL96" s="318"/>
      <c r="AM96" s="318"/>
      <c r="AN96" s="318"/>
      <c r="AO96" s="318"/>
      <c r="AP96" s="318"/>
      <c r="AQ96" s="318"/>
      <c r="AR96" s="318"/>
      <c r="AS96" s="334"/>
      <c r="AT96" s="318"/>
      <c r="AU96" s="318"/>
      <c r="AV96" s="318"/>
      <c r="AW96" s="318"/>
      <c r="AX96" s="318"/>
      <c r="AY96" s="318"/>
      <c r="AZ96" s="318"/>
      <c r="BA96" s="318"/>
      <c r="BB96" s="334"/>
      <c r="BC96" s="318"/>
      <c r="BD96" s="318"/>
      <c r="BE96" s="318"/>
      <c r="BF96" s="318"/>
      <c r="BG96" s="318"/>
      <c r="BH96" s="318"/>
      <c r="BI96" s="318"/>
      <c r="BJ96" s="318"/>
      <c r="BK96" s="334"/>
      <c r="BL96" s="318"/>
      <c r="BM96" s="318"/>
      <c r="BN96" s="318"/>
      <c r="BO96" s="318"/>
      <c r="BP96" s="318"/>
      <c r="BQ96" s="318"/>
    </row>
    <row r="97" spans="2:69" s="121" customFormat="1" ht="22.5" customHeight="1">
      <c r="J97" s="334"/>
      <c r="K97" s="318"/>
      <c r="L97" s="318"/>
      <c r="M97" s="318"/>
      <c r="N97" s="318"/>
      <c r="O97" s="318"/>
      <c r="P97" s="318"/>
      <c r="Q97" s="318"/>
      <c r="R97" s="334"/>
      <c r="S97" s="318"/>
      <c r="T97" s="318"/>
      <c r="U97" s="318"/>
      <c r="V97" s="318"/>
      <c r="W97" s="318"/>
      <c r="X97" s="318"/>
      <c r="Y97" s="318"/>
      <c r="Z97" s="334"/>
      <c r="AA97" s="318"/>
      <c r="AB97" s="318"/>
      <c r="AC97" s="318"/>
      <c r="AD97" s="318"/>
      <c r="AE97" s="318"/>
      <c r="AF97" s="318"/>
      <c r="AG97" s="318"/>
      <c r="AH97" s="318"/>
      <c r="AI97" s="318"/>
      <c r="AJ97" s="318"/>
      <c r="AK97" s="334"/>
      <c r="AL97" s="318"/>
      <c r="AM97" s="318"/>
      <c r="AN97" s="318"/>
      <c r="AO97" s="318"/>
      <c r="AP97" s="318"/>
      <c r="AQ97" s="318"/>
      <c r="AR97" s="318"/>
      <c r="AS97" s="334"/>
      <c r="AT97" s="318"/>
      <c r="AU97" s="318"/>
      <c r="AV97" s="318"/>
      <c r="AW97" s="318"/>
      <c r="AX97" s="318"/>
      <c r="AY97" s="318"/>
      <c r="AZ97" s="318"/>
      <c r="BA97" s="318"/>
      <c r="BB97" s="334"/>
      <c r="BC97" s="318"/>
      <c r="BD97" s="318"/>
      <c r="BE97" s="318"/>
      <c r="BF97" s="318"/>
      <c r="BG97" s="318"/>
      <c r="BH97" s="318"/>
      <c r="BI97" s="318"/>
      <c r="BJ97" s="318"/>
      <c r="BK97" s="334"/>
      <c r="BL97" s="318"/>
      <c r="BM97" s="318"/>
      <c r="BN97" s="318"/>
      <c r="BO97" s="318"/>
      <c r="BP97" s="318"/>
      <c r="BQ97" s="318"/>
    </row>
    <row r="98" spans="2:69" s="121" customFormat="1" ht="22.5" customHeight="1">
      <c r="J98" s="334"/>
      <c r="K98" s="318"/>
      <c r="L98" s="318"/>
      <c r="M98" s="318"/>
      <c r="N98" s="318"/>
      <c r="O98" s="318"/>
      <c r="P98" s="318"/>
      <c r="Q98" s="318"/>
      <c r="R98" s="334"/>
      <c r="S98" s="318"/>
      <c r="T98" s="318"/>
      <c r="U98" s="318"/>
      <c r="V98" s="318"/>
      <c r="W98" s="318"/>
      <c r="X98" s="318"/>
      <c r="Y98" s="318"/>
      <c r="Z98" s="334"/>
      <c r="AA98" s="318"/>
      <c r="AB98" s="318"/>
      <c r="AC98" s="318"/>
      <c r="AD98" s="318"/>
      <c r="AE98" s="318"/>
      <c r="AF98" s="318"/>
      <c r="AG98" s="318"/>
      <c r="AH98" s="318"/>
      <c r="AI98" s="318"/>
      <c r="AJ98" s="318"/>
      <c r="AK98" s="334"/>
      <c r="AL98" s="318"/>
      <c r="AM98" s="318"/>
      <c r="AN98" s="318"/>
      <c r="AO98" s="318"/>
      <c r="AP98" s="318"/>
      <c r="AQ98" s="318"/>
      <c r="AR98" s="318"/>
      <c r="AS98" s="334"/>
      <c r="AT98" s="318"/>
      <c r="AU98" s="318"/>
      <c r="AV98" s="318"/>
      <c r="AW98" s="318"/>
      <c r="AX98" s="318"/>
      <c r="AY98" s="318"/>
      <c r="AZ98" s="318"/>
      <c r="BA98" s="318"/>
      <c r="BB98" s="334"/>
      <c r="BC98" s="318"/>
      <c r="BD98" s="318"/>
      <c r="BE98" s="318"/>
      <c r="BF98" s="318"/>
      <c r="BG98" s="318"/>
      <c r="BH98" s="318"/>
      <c r="BI98" s="318"/>
      <c r="BJ98" s="318"/>
      <c r="BK98" s="334"/>
      <c r="BL98" s="318"/>
      <c r="BM98" s="318"/>
      <c r="BN98" s="318"/>
      <c r="BO98" s="318"/>
      <c r="BP98" s="318"/>
      <c r="BQ98" s="318"/>
    </row>
    <row r="99" spans="2:69" s="121" customFormat="1" ht="22.5" customHeight="1">
      <c r="E99" s="8"/>
      <c r="F99" s="8"/>
      <c r="G99" s="8"/>
      <c r="H99" s="47"/>
      <c r="I99" s="8"/>
      <c r="J99" s="334"/>
      <c r="K99" s="318"/>
      <c r="L99" s="318"/>
      <c r="M99" s="318"/>
      <c r="N99" s="318"/>
      <c r="O99" s="318"/>
      <c r="P99" s="318"/>
      <c r="Q99" s="318"/>
      <c r="R99" s="334"/>
      <c r="S99" s="318"/>
      <c r="T99" s="318"/>
      <c r="U99" s="318"/>
      <c r="V99" s="318"/>
      <c r="W99" s="318"/>
      <c r="X99" s="318"/>
      <c r="Y99" s="318"/>
      <c r="Z99" s="334"/>
      <c r="AA99" s="318"/>
      <c r="AB99" s="318"/>
      <c r="AC99" s="318"/>
      <c r="AD99" s="318"/>
      <c r="AE99" s="318"/>
      <c r="AF99" s="318"/>
      <c r="AG99" s="318"/>
      <c r="AH99" s="318"/>
      <c r="AI99" s="318"/>
      <c r="AJ99" s="318"/>
      <c r="AK99" s="334"/>
      <c r="AL99" s="318"/>
      <c r="AM99" s="318"/>
      <c r="AN99" s="318"/>
      <c r="AO99" s="318"/>
      <c r="AP99" s="318"/>
      <c r="AQ99" s="318"/>
      <c r="AR99" s="318"/>
      <c r="AS99" s="334"/>
      <c r="AT99" s="318"/>
      <c r="AU99" s="318"/>
      <c r="AV99" s="318"/>
      <c r="AW99" s="318"/>
      <c r="AX99" s="318"/>
      <c r="AY99" s="318"/>
      <c r="AZ99" s="318"/>
      <c r="BA99" s="213"/>
      <c r="BB99" s="332"/>
      <c r="BC99" s="318"/>
      <c r="BD99" s="318"/>
      <c r="BE99" s="318"/>
      <c r="BF99" s="318"/>
      <c r="BG99" s="335"/>
      <c r="BH99" s="335"/>
      <c r="BI99" s="318"/>
      <c r="BJ99" s="318"/>
      <c r="BK99" s="334"/>
      <c r="BL99" s="318"/>
      <c r="BM99" s="318"/>
      <c r="BN99" s="318"/>
      <c r="BO99" s="318"/>
      <c r="BP99" s="318"/>
      <c r="BQ99" s="318"/>
    </row>
    <row r="100" spans="2:69" s="121" customFormat="1" ht="22.5" customHeight="1">
      <c r="B100" s="259"/>
      <c r="H100" s="259"/>
      <c r="J100" s="334"/>
      <c r="K100" s="318"/>
      <c r="L100" s="318"/>
      <c r="M100" s="318"/>
      <c r="N100" s="318"/>
      <c r="O100" s="318"/>
      <c r="P100" s="318"/>
      <c r="Q100" s="318"/>
      <c r="R100" s="334"/>
      <c r="S100" s="318"/>
      <c r="T100" s="318"/>
      <c r="U100" s="318"/>
      <c r="V100" s="318"/>
      <c r="W100" s="318"/>
      <c r="X100" s="318"/>
      <c r="Y100" s="318"/>
      <c r="Z100" s="334"/>
      <c r="AA100" s="318"/>
      <c r="AB100" s="318"/>
      <c r="AC100" s="318"/>
      <c r="AD100" s="318"/>
      <c r="AE100" s="318"/>
      <c r="AF100" s="318"/>
      <c r="AG100" s="318"/>
      <c r="AH100" s="318"/>
      <c r="AI100" s="318"/>
      <c r="AJ100" s="318"/>
      <c r="AK100" s="332"/>
      <c r="AL100" s="318"/>
      <c r="AM100" s="318"/>
      <c r="AN100" s="318"/>
      <c r="AO100" s="318"/>
      <c r="AP100" s="335"/>
      <c r="AQ100" s="318"/>
      <c r="AR100" s="318"/>
      <c r="AS100" s="334"/>
      <c r="AT100" s="318"/>
      <c r="AU100" s="318"/>
      <c r="AV100" s="318"/>
      <c r="AW100" s="318"/>
      <c r="AX100" s="318"/>
      <c r="AY100" s="318"/>
      <c r="AZ100" s="318"/>
      <c r="BA100" s="336"/>
      <c r="BB100" s="334"/>
      <c r="BC100" s="213"/>
      <c r="BD100" s="213"/>
      <c r="BE100" s="213"/>
      <c r="BF100" s="213"/>
      <c r="BG100" s="213"/>
      <c r="BH100" s="213"/>
      <c r="BI100" s="213"/>
      <c r="BJ100" s="318"/>
      <c r="BK100" s="334"/>
      <c r="BL100" s="318"/>
      <c r="BM100" s="318"/>
      <c r="BN100" s="318"/>
      <c r="BO100" s="318"/>
      <c r="BP100" s="318"/>
      <c r="BQ100" s="318"/>
    </row>
    <row r="101" spans="2:69" ht="22.5" customHeight="1">
      <c r="BA101" s="336"/>
      <c r="BB101" s="337"/>
      <c r="BC101" s="336"/>
      <c r="BD101" s="336"/>
      <c r="BE101" s="336"/>
      <c r="BF101" s="336"/>
      <c r="BG101" s="336"/>
      <c r="BH101" s="336"/>
      <c r="BI101" s="336"/>
      <c r="BJ101" s="318"/>
      <c r="BL101" s="318"/>
      <c r="BM101" s="318"/>
      <c r="BN101" s="318"/>
      <c r="BO101" s="318"/>
      <c r="BP101" s="318"/>
      <c r="BQ101" s="318"/>
    </row>
    <row r="102" spans="2:69" s="257" customFormat="1" ht="22.5" customHeight="1">
      <c r="B102" s="47"/>
      <c r="H102" s="47"/>
      <c r="J102" s="337"/>
      <c r="K102" s="336"/>
      <c r="L102" s="336"/>
      <c r="M102" s="336"/>
      <c r="N102" s="336"/>
      <c r="O102" s="336"/>
      <c r="P102" s="336"/>
      <c r="Q102" s="336"/>
      <c r="R102" s="337"/>
      <c r="S102" s="336"/>
      <c r="T102" s="336"/>
      <c r="U102" s="336"/>
      <c r="V102" s="336"/>
      <c r="W102" s="336"/>
      <c r="X102" s="336"/>
      <c r="Y102" s="336"/>
      <c r="Z102" s="337"/>
      <c r="AA102" s="336"/>
      <c r="AB102" s="336"/>
      <c r="AC102" s="336"/>
      <c r="AD102" s="336"/>
      <c r="AE102" s="336"/>
      <c r="AF102" s="336"/>
      <c r="AG102" s="336"/>
      <c r="AH102" s="336"/>
      <c r="AI102" s="336"/>
      <c r="AJ102" s="336"/>
      <c r="AK102" s="337"/>
      <c r="AL102" s="336"/>
      <c r="AM102" s="336"/>
      <c r="AN102" s="336"/>
      <c r="AO102" s="336"/>
      <c r="AP102" s="336"/>
      <c r="AQ102" s="336"/>
      <c r="AR102" s="336"/>
      <c r="AS102" s="337"/>
      <c r="AT102" s="336"/>
      <c r="AU102" s="336"/>
      <c r="AV102" s="336"/>
      <c r="AW102" s="336"/>
      <c r="AX102" s="336"/>
      <c r="AY102" s="336"/>
      <c r="AZ102" s="336"/>
      <c r="BA102" s="333"/>
      <c r="BB102" s="337"/>
      <c r="BC102" s="336"/>
      <c r="BD102" s="336"/>
      <c r="BE102" s="336"/>
      <c r="BF102" s="336"/>
      <c r="BG102" s="336"/>
      <c r="BH102" s="336"/>
      <c r="BI102" s="336"/>
      <c r="BJ102" s="318"/>
      <c r="BK102" s="334"/>
      <c r="BL102" s="318"/>
      <c r="BM102" s="318"/>
      <c r="BN102" s="318"/>
      <c r="BO102" s="318"/>
      <c r="BP102" s="318"/>
      <c r="BQ102" s="318"/>
    </row>
    <row r="103" spans="2:69" s="257" customFormat="1" ht="22.5" customHeight="1">
      <c r="B103" s="47"/>
      <c r="D103" s="268"/>
      <c r="E103" s="268"/>
      <c r="F103" s="268"/>
      <c r="G103" s="268"/>
      <c r="H103" s="259"/>
      <c r="I103" s="268"/>
      <c r="J103" s="337"/>
      <c r="K103" s="336"/>
      <c r="L103" s="336"/>
      <c r="M103" s="336"/>
      <c r="N103" s="336"/>
      <c r="O103" s="336"/>
      <c r="P103" s="336"/>
      <c r="Q103" s="336"/>
      <c r="R103" s="337"/>
      <c r="S103" s="336"/>
      <c r="T103" s="336"/>
      <c r="U103" s="336"/>
      <c r="V103" s="336"/>
      <c r="W103" s="336"/>
      <c r="X103" s="336"/>
      <c r="Y103" s="336"/>
      <c r="Z103" s="337"/>
      <c r="AA103" s="336"/>
      <c r="AB103" s="336"/>
      <c r="AC103" s="336"/>
      <c r="AD103" s="336"/>
      <c r="AE103" s="336"/>
      <c r="AF103" s="336"/>
      <c r="AG103" s="336"/>
      <c r="AH103" s="336"/>
      <c r="AI103" s="336"/>
      <c r="AJ103" s="336"/>
      <c r="AK103" s="337"/>
      <c r="AL103" s="336"/>
      <c r="AM103" s="336"/>
      <c r="AN103" s="336"/>
      <c r="AO103" s="336"/>
      <c r="AP103" s="336"/>
      <c r="AQ103" s="336"/>
      <c r="AR103" s="336"/>
      <c r="AS103" s="337"/>
      <c r="AT103" s="336"/>
      <c r="AU103" s="336"/>
      <c r="AV103" s="336"/>
      <c r="AW103" s="336"/>
      <c r="AX103" s="336"/>
      <c r="AY103" s="336"/>
      <c r="AZ103" s="336"/>
      <c r="BA103" s="333"/>
      <c r="BB103" s="338"/>
      <c r="BC103" s="333"/>
      <c r="BD103" s="333"/>
      <c r="BE103" s="333"/>
      <c r="BF103" s="333"/>
      <c r="BG103" s="333"/>
      <c r="BH103" s="333"/>
      <c r="BI103" s="333"/>
      <c r="BJ103" s="318"/>
      <c r="BK103" s="334"/>
      <c r="BL103" s="318"/>
      <c r="BM103" s="318"/>
      <c r="BN103" s="318"/>
      <c r="BO103" s="318"/>
      <c r="BP103" s="318"/>
      <c r="BQ103" s="318"/>
    </row>
    <row r="104" spans="2:69" s="47" customFormat="1" ht="22.5" customHeight="1">
      <c r="J104" s="338"/>
      <c r="K104" s="333"/>
      <c r="L104" s="333"/>
      <c r="M104" s="333"/>
      <c r="N104" s="333"/>
      <c r="O104" s="333"/>
      <c r="P104" s="333"/>
      <c r="Q104" s="333"/>
      <c r="R104" s="338"/>
      <c r="S104" s="333"/>
      <c r="T104" s="333"/>
      <c r="U104" s="333"/>
      <c r="V104" s="333"/>
      <c r="W104" s="333"/>
      <c r="X104" s="333"/>
      <c r="Y104" s="333"/>
      <c r="Z104" s="338"/>
      <c r="AA104" s="333"/>
      <c r="AB104" s="333"/>
      <c r="AC104" s="333"/>
      <c r="AD104" s="333"/>
      <c r="AE104" s="333"/>
      <c r="AF104" s="333"/>
      <c r="AG104" s="333"/>
      <c r="AH104" s="333"/>
      <c r="AI104" s="333"/>
      <c r="AJ104" s="333"/>
      <c r="AK104" s="338"/>
      <c r="AL104" s="333"/>
      <c r="AM104" s="333"/>
      <c r="AN104" s="333"/>
      <c r="AO104" s="333"/>
      <c r="AP104" s="333"/>
      <c r="AQ104" s="333"/>
      <c r="AR104" s="333"/>
      <c r="AS104" s="338"/>
      <c r="AT104" s="333"/>
      <c r="AU104" s="333"/>
      <c r="AV104" s="333"/>
      <c r="AW104" s="333"/>
      <c r="AX104" s="333"/>
      <c r="AY104" s="333"/>
      <c r="AZ104" s="333"/>
      <c r="BA104" s="333"/>
      <c r="BB104" s="338"/>
      <c r="BC104" s="333"/>
      <c r="BD104" s="333"/>
      <c r="BE104" s="333"/>
      <c r="BF104" s="333"/>
      <c r="BG104" s="333"/>
      <c r="BH104" s="333"/>
      <c r="BI104" s="333"/>
      <c r="BJ104" s="318"/>
      <c r="BK104" s="334"/>
      <c r="BL104" s="318"/>
      <c r="BM104" s="318"/>
      <c r="BN104" s="318"/>
      <c r="BO104" s="318"/>
      <c r="BP104" s="318"/>
      <c r="BQ104" s="318"/>
    </row>
    <row r="105" spans="2:69" s="47" customFormat="1" ht="22.5" customHeight="1">
      <c r="J105" s="338"/>
      <c r="K105" s="333"/>
      <c r="L105" s="333"/>
      <c r="M105" s="333"/>
      <c r="N105" s="333"/>
      <c r="O105" s="333"/>
      <c r="P105" s="333"/>
      <c r="Q105" s="333"/>
      <c r="R105" s="338"/>
      <c r="S105" s="333"/>
      <c r="T105" s="333"/>
      <c r="U105" s="333"/>
      <c r="V105" s="333"/>
      <c r="W105" s="333"/>
      <c r="X105" s="333"/>
      <c r="Y105" s="333"/>
      <c r="Z105" s="338"/>
      <c r="AA105" s="333"/>
      <c r="AB105" s="333"/>
      <c r="AC105" s="333"/>
      <c r="AD105" s="333"/>
      <c r="AE105" s="333"/>
      <c r="AF105" s="333"/>
      <c r="AG105" s="333"/>
      <c r="AH105" s="333"/>
      <c r="AI105" s="333"/>
      <c r="AJ105" s="333"/>
      <c r="AK105" s="338"/>
      <c r="AL105" s="333"/>
      <c r="AM105" s="333"/>
      <c r="AN105" s="333"/>
      <c r="AO105" s="333"/>
      <c r="AP105" s="333"/>
      <c r="AQ105" s="333"/>
      <c r="AR105" s="333"/>
      <c r="AS105" s="338"/>
      <c r="AT105" s="333"/>
      <c r="AU105" s="333"/>
      <c r="AV105" s="333"/>
      <c r="AW105" s="333"/>
      <c r="AX105" s="333"/>
      <c r="AY105" s="333"/>
      <c r="AZ105" s="333"/>
      <c r="BA105" s="333"/>
      <c r="BB105" s="338"/>
      <c r="BC105" s="333"/>
      <c r="BD105" s="333"/>
      <c r="BE105" s="333"/>
      <c r="BF105" s="333"/>
      <c r="BG105" s="333"/>
      <c r="BH105" s="333"/>
      <c r="BI105" s="333"/>
      <c r="BJ105" s="213"/>
      <c r="BK105" s="334"/>
      <c r="BL105" s="213"/>
      <c r="BM105" s="213"/>
      <c r="BN105" s="213"/>
      <c r="BO105" s="213"/>
      <c r="BP105" s="213"/>
      <c r="BQ105" s="213"/>
    </row>
    <row r="106" spans="2:69" s="47" customFormat="1" ht="22.5" customHeight="1">
      <c r="J106" s="338"/>
      <c r="K106" s="333"/>
      <c r="L106" s="333"/>
      <c r="M106" s="333"/>
      <c r="N106" s="333"/>
      <c r="O106" s="333"/>
      <c r="P106" s="333"/>
      <c r="Q106" s="333"/>
      <c r="R106" s="338"/>
      <c r="S106" s="333"/>
      <c r="T106" s="333"/>
      <c r="U106" s="333"/>
      <c r="V106" s="333"/>
      <c r="W106" s="333"/>
      <c r="X106" s="333"/>
      <c r="Y106" s="333"/>
      <c r="Z106" s="338"/>
      <c r="AA106" s="333"/>
      <c r="AB106" s="333"/>
      <c r="AC106" s="333"/>
      <c r="AD106" s="333"/>
      <c r="AE106" s="333"/>
      <c r="AF106" s="333"/>
      <c r="AG106" s="333"/>
      <c r="AH106" s="333"/>
      <c r="AI106" s="333"/>
      <c r="AJ106" s="333"/>
      <c r="AK106" s="338"/>
      <c r="AL106" s="333"/>
      <c r="AM106" s="333"/>
      <c r="AN106" s="333"/>
      <c r="AO106" s="333"/>
      <c r="AP106" s="333"/>
      <c r="AQ106" s="333"/>
      <c r="AR106" s="333"/>
      <c r="AS106" s="338"/>
      <c r="AT106" s="333"/>
      <c r="AU106" s="333"/>
      <c r="AV106" s="333"/>
      <c r="AW106" s="333"/>
      <c r="AX106" s="333"/>
      <c r="AY106" s="333"/>
      <c r="AZ106" s="333"/>
      <c r="BA106" s="333"/>
      <c r="BB106" s="338"/>
      <c r="BC106" s="333"/>
      <c r="BD106" s="333"/>
      <c r="BE106" s="333"/>
      <c r="BF106" s="333"/>
      <c r="BG106" s="333"/>
      <c r="BH106" s="333"/>
      <c r="BI106" s="333"/>
      <c r="BJ106" s="336"/>
      <c r="BK106" s="337"/>
      <c r="BL106" s="336"/>
      <c r="BM106" s="336"/>
      <c r="BN106" s="336"/>
      <c r="BO106" s="336"/>
      <c r="BP106" s="336"/>
      <c r="BQ106" s="336"/>
    </row>
    <row r="107" spans="2:69" s="47" customFormat="1" ht="22.5" customHeight="1">
      <c r="J107" s="338"/>
      <c r="K107" s="333"/>
      <c r="L107" s="333"/>
      <c r="M107" s="333"/>
      <c r="N107" s="333"/>
      <c r="O107" s="333"/>
      <c r="P107" s="333"/>
      <c r="Q107" s="333"/>
      <c r="R107" s="338"/>
      <c r="S107" s="333"/>
      <c r="T107" s="333"/>
      <c r="U107" s="333"/>
      <c r="V107" s="333"/>
      <c r="W107" s="333"/>
      <c r="X107" s="333"/>
      <c r="Y107" s="333"/>
      <c r="Z107" s="338"/>
      <c r="AA107" s="333"/>
      <c r="AB107" s="333"/>
      <c r="AC107" s="333"/>
      <c r="AD107" s="333"/>
      <c r="AE107" s="333"/>
      <c r="AF107" s="333"/>
      <c r="AG107" s="333"/>
      <c r="AH107" s="333"/>
      <c r="AI107" s="333"/>
      <c r="AJ107" s="333"/>
      <c r="AK107" s="338"/>
      <c r="AL107" s="333"/>
      <c r="AM107" s="333"/>
      <c r="AN107" s="333"/>
      <c r="AO107" s="333"/>
      <c r="AP107" s="333"/>
      <c r="AQ107" s="333"/>
      <c r="AR107" s="333"/>
      <c r="AS107" s="338"/>
      <c r="AT107" s="333"/>
      <c r="AU107" s="333"/>
      <c r="AV107" s="333"/>
      <c r="AW107" s="333"/>
      <c r="AX107" s="333"/>
      <c r="AY107" s="333"/>
      <c r="AZ107" s="333"/>
      <c r="BA107" s="333"/>
      <c r="BB107" s="338"/>
      <c r="BC107" s="333"/>
      <c r="BD107" s="333"/>
      <c r="BE107" s="333"/>
      <c r="BF107" s="333"/>
      <c r="BG107" s="333"/>
      <c r="BH107" s="333"/>
      <c r="BI107" s="333"/>
      <c r="BJ107" s="336"/>
      <c r="BK107" s="337"/>
      <c r="BL107" s="336"/>
      <c r="BM107" s="336"/>
      <c r="BN107" s="336"/>
      <c r="BO107" s="336"/>
      <c r="BP107" s="336"/>
      <c r="BQ107" s="336"/>
    </row>
    <row r="108" spans="2:69" s="47" customFormat="1" ht="22.5" customHeight="1">
      <c r="J108" s="338"/>
      <c r="K108" s="333"/>
      <c r="L108" s="333"/>
      <c r="M108" s="333"/>
      <c r="N108" s="333"/>
      <c r="O108" s="333"/>
      <c r="P108" s="333"/>
      <c r="Q108" s="333"/>
      <c r="R108" s="338"/>
      <c r="S108" s="333"/>
      <c r="T108" s="333"/>
      <c r="U108" s="333"/>
      <c r="V108" s="333"/>
      <c r="W108" s="333"/>
      <c r="X108" s="333"/>
      <c r="Y108" s="333"/>
      <c r="Z108" s="338"/>
      <c r="AA108" s="333"/>
      <c r="AB108" s="333"/>
      <c r="AC108" s="333"/>
      <c r="AD108" s="333"/>
      <c r="AE108" s="333"/>
      <c r="AF108" s="333"/>
      <c r="AG108" s="333"/>
      <c r="AH108" s="333"/>
      <c r="AI108" s="333"/>
      <c r="AJ108" s="333"/>
      <c r="AK108" s="338"/>
      <c r="AL108" s="333"/>
      <c r="AM108" s="333"/>
      <c r="AN108" s="333"/>
      <c r="AO108" s="333"/>
      <c r="AP108" s="333"/>
      <c r="AQ108" s="333"/>
      <c r="AR108" s="333"/>
      <c r="AS108" s="338"/>
      <c r="AT108" s="333"/>
      <c r="AU108" s="333"/>
      <c r="AV108" s="333"/>
      <c r="AW108" s="333"/>
      <c r="AX108" s="333"/>
      <c r="AY108" s="333"/>
      <c r="AZ108" s="333"/>
      <c r="BA108" s="335"/>
      <c r="BB108" s="338"/>
      <c r="BC108" s="333"/>
      <c r="BD108" s="333"/>
      <c r="BE108" s="333"/>
      <c r="BF108" s="333"/>
      <c r="BG108" s="333"/>
      <c r="BH108" s="333"/>
      <c r="BI108" s="333"/>
      <c r="BJ108" s="333"/>
      <c r="BK108" s="338"/>
      <c r="BL108" s="333"/>
      <c r="BM108" s="333"/>
      <c r="BN108" s="333"/>
      <c r="BO108" s="333"/>
      <c r="BP108" s="333"/>
      <c r="BQ108" s="333"/>
    </row>
    <row r="109" spans="2:69" s="47" customFormat="1" ht="22.5" customHeight="1">
      <c r="J109" s="338"/>
      <c r="K109" s="333"/>
      <c r="L109" s="333"/>
      <c r="M109" s="333"/>
      <c r="N109" s="333"/>
      <c r="O109" s="333"/>
      <c r="P109" s="333"/>
      <c r="Q109" s="333"/>
      <c r="R109" s="338"/>
      <c r="S109" s="333"/>
      <c r="T109" s="333"/>
      <c r="U109" s="333"/>
      <c r="V109" s="333"/>
      <c r="W109" s="333"/>
      <c r="X109" s="333"/>
      <c r="Y109" s="333"/>
      <c r="Z109" s="338"/>
      <c r="AA109" s="333"/>
      <c r="AB109" s="333"/>
      <c r="AC109" s="333"/>
      <c r="AD109" s="333"/>
      <c r="AE109" s="333"/>
      <c r="AF109" s="333"/>
      <c r="AG109" s="333"/>
      <c r="AH109" s="333"/>
      <c r="AI109" s="333"/>
      <c r="AJ109" s="333"/>
      <c r="AK109" s="338"/>
      <c r="AL109" s="333"/>
      <c r="AM109" s="333"/>
      <c r="AN109" s="333"/>
      <c r="AO109" s="333"/>
      <c r="AP109" s="333"/>
      <c r="AQ109" s="333"/>
      <c r="AR109" s="333"/>
      <c r="AS109" s="338"/>
      <c r="AT109" s="333"/>
      <c r="AU109" s="333"/>
      <c r="AV109" s="333"/>
      <c r="AW109" s="333"/>
      <c r="AX109" s="333"/>
      <c r="AY109" s="333"/>
      <c r="AZ109" s="333"/>
      <c r="BA109" s="335"/>
      <c r="BB109" s="338"/>
      <c r="BC109" s="335"/>
      <c r="BD109" s="335"/>
      <c r="BE109" s="335"/>
      <c r="BF109" s="335"/>
      <c r="BG109" s="335"/>
      <c r="BH109" s="335"/>
      <c r="BI109" s="335"/>
      <c r="BJ109" s="333"/>
      <c r="BK109" s="338"/>
      <c r="BL109" s="333"/>
      <c r="BM109" s="333"/>
      <c r="BN109" s="333"/>
      <c r="BO109" s="333"/>
      <c r="BP109" s="333"/>
      <c r="BQ109" s="333"/>
    </row>
    <row r="110" spans="2:69" s="259" customFormat="1" ht="22.5" customHeight="1">
      <c r="J110" s="338"/>
      <c r="K110" s="335"/>
      <c r="L110" s="335"/>
      <c r="M110" s="335"/>
      <c r="N110" s="335"/>
      <c r="O110" s="335"/>
      <c r="P110" s="335"/>
      <c r="Q110" s="335"/>
      <c r="R110" s="338"/>
      <c r="S110" s="335"/>
      <c r="T110" s="335"/>
      <c r="U110" s="335"/>
      <c r="V110" s="335"/>
      <c r="W110" s="335"/>
      <c r="X110" s="335"/>
      <c r="Y110" s="335"/>
      <c r="Z110" s="338"/>
      <c r="AA110" s="335"/>
      <c r="AB110" s="335"/>
      <c r="AC110" s="335"/>
      <c r="AD110" s="335"/>
      <c r="AE110" s="335"/>
      <c r="AF110" s="335"/>
      <c r="AG110" s="335"/>
      <c r="AH110" s="335"/>
      <c r="AI110" s="335"/>
      <c r="AJ110" s="335"/>
      <c r="AK110" s="338"/>
      <c r="AL110" s="335"/>
      <c r="AM110" s="335"/>
      <c r="AN110" s="335"/>
      <c r="AO110" s="335"/>
      <c r="AP110" s="335"/>
      <c r="AQ110" s="335"/>
      <c r="AR110" s="335"/>
      <c r="AS110" s="338"/>
      <c r="AT110" s="335"/>
      <c r="AU110" s="335"/>
      <c r="AV110" s="335"/>
      <c r="AW110" s="335"/>
      <c r="AX110" s="335"/>
      <c r="AY110" s="335"/>
      <c r="AZ110" s="335"/>
      <c r="BA110" s="335"/>
      <c r="BB110" s="338"/>
      <c r="BC110" s="335"/>
      <c r="BD110" s="335"/>
      <c r="BE110" s="335"/>
      <c r="BF110" s="335"/>
      <c r="BG110" s="335"/>
      <c r="BH110" s="335"/>
      <c r="BI110" s="335"/>
      <c r="BJ110" s="333"/>
      <c r="BK110" s="338"/>
      <c r="BL110" s="333"/>
      <c r="BM110" s="333"/>
      <c r="BN110" s="333"/>
      <c r="BO110" s="333"/>
      <c r="BP110" s="333"/>
      <c r="BQ110" s="333"/>
    </row>
    <row r="111" spans="2:69" s="259" customFormat="1" ht="22.5" customHeight="1">
      <c r="J111" s="338"/>
      <c r="K111" s="335"/>
      <c r="L111" s="335"/>
      <c r="M111" s="335"/>
      <c r="N111" s="335"/>
      <c r="O111" s="335"/>
      <c r="P111" s="335"/>
      <c r="Q111" s="335"/>
      <c r="R111" s="332"/>
      <c r="S111" s="335"/>
      <c r="T111" s="335"/>
      <c r="U111" s="335"/>
      <c r="V111" s="335"/>
      <c r="W111" s="335"/>
      <c r="X111" s="335"/>
      <c r="Y111" s="335"/>
      <c r="Z111" s="338"/>
      <c r="AA111" s="335"/>
      <c r="AB111" s="335"/>
      <c r="AC111" s="335"/>
      <c r="AD111" s="335"/>
      <c r="AE111" s="335"/>
      <c r="AF111" s="335"/>
      <c r="AG111" s="335"/>
      <c r="AH111" s="335"/>
      <c r="AI111" s="335"/>
      <c r="AJ111" s="335"/>
      <c r="AK111" s="338"/>
      <c r="AL111" s="335"/>
      <c r="AM111" s="335"/>
      <c r="AN111" s="335"/>
      <c r="AO111" s="335"/>
      <c r="AP111" s="335"/>
      <c r="AQ111" s="335"/>
      <c r="AR111" s="335"/>
      <c r="AS111" s="338"/>
      <c r="AT111" s="335"/>
      <c r="AU111" s="335"/>
      <c r="AV111" s="335"/>
      <c r="AW111" s="335"/>
      <c r="AX111" s="335"/>
      <c r="AY111" s="335"/>
      <c r="AZ111" s="335"/>
      <c r="BA111" s="335"/>
      <c r="BB111" s="338"/>
      <c r="BC111" s="335"/>
      <c r="BD111" s="335"/>
      <c r="BE111" s="335"/>
      <c r="BF111" s="335"/>
      <c r="BG111" s="335"/>
      <c r="BH111" s="335"/>
      <c r="BI111" s="335"/>
      <c r="BJ111" s="333"/>
      <c r="BK111" s="338"/>
      <c r="BL111" s="333"/>
      <c r="BM111" s="333"/>
      <c r="BN111" s="333"/>
      <c r="BO111" s="333"/>
      <c r="BP111" s="333"/>
      <c r="BQ111" s="333"/>
    </row>
    <row r="112" spans="2:69" s="259" customFormat="1" ht="22.5" customHeight="1">
      <c r="J112" s="338"/>
      <c r="K112" s="335"/>
      <c r="L112" s="335"/>
      <c r="M112" s="335"/>
      <c r="N112" s="335"/>
      <c r="O112" s="335"/>
      <c r="P112" s="335"/>
      <c r="Q112" s="335"/>
      <c r="R112" s="332"/>
      <c r="S112" s="335"/>
      <c r="T112" s="335"/>
      <c r="U112" s="335"/>
      <c r="V112" s="335"/>
      <c r="W112" s="335"/>
      <c r="X112" s="335"/>
      <c r="Y112" s="335"/>
      <c r="Z112" s="338"/>
      <c r="AA112" s="335"/>
      <c r="AB112" s="335"/>
      <c r="AC112" s="335"/>
      <c r="AD112" s="335"/>
      <c r="AE112" s="335"/>
      <c r="AF112" s="335"/>
      <c r="AG112" s="335"/>
      <c r="AH112" s="335"/>
      <c r="AI112" s="335"/>
      <c r="AJ112" s="335"/>
      <c r="AK112" s="338"/>
      <c r="AL112" s="335"/>
      <c r="AM112" s="335"/>
      <c r="AN112" s="335"/>
      <c r="AO112" s="335"/>
      <c r="AP112" s="335"/>
      <c r="AQ112" s="335"/>
      <c r="AR112" s="335"/>
      <c r="AS112" s="338"/>
      <c r="AT112" s="335"/>
      <c r="AU112" s="335"/>
      <c r="AV112" s="335"/>
      <c r="AW112" s="335"/>
      <c r="AX112" s="335"/>
      <c r="AY112" s="335"/>
      <c r="AZ112" s="335"/>
      <c r="BA112" s="339"/>
      <c r="BB112" s="338"/>
      <c r="BC112" s="335"/>
      <c r="BD112" s="335"/>
      <c r="BE112" s="335"/>
      <c r="BF112" s="335"/>
      <c r="BG112" s="335"/>
      <c r="BH112" s="335"/>
      <c r="BI112" s="335"/>
      <c r="BJ112" s="333"/>
      <c r="BK112" s="338"/>
      <c r="BL112" s="333"/>
      <c r="BM112" s="333"/>
      <c r="BN112" s="333"/>
      <c r="BO112" s="333"/>
      <c r="BP112" s="333"/>
      <c r="BQ112" s="333"/>
    </row>
    <row r="113" spans="1:69" s="259" customFormat="1" ht="22.5" customHeight="1">
      <c r="J113" s="338"/>
      <c r="K113" s="335"/>
      <c r="L113" s="335"/>
      <c r="M113" s="335"/>
      <c r="N113" s="335"/>
      <c r="O113" s="335"/>
      <c r="P113" s="335"/>
      <c r="Q113" s="335"/>
      <c r="R113" s="332"/>
      <c r="S113" s="335"/>
      <c r="T113" s="335"/>
      <c r="U113" s="335"/>
      <c r="V113" s="335"/>
      <c r="W113" s="335"/>
      <c r="X113" s="335"/>
      <c r="Y113" s="335"/>
      <c r="Z113" s="338"/>
      <c r="AA113" s="335"/>
      <c r="AB113" s="335"/>
      <c r="AC113" s="335"/>
      <c r="AD113" s="335"/>
      <c r="AE113" s="335"/>
      <c r="AF113" s="335"/>
      <c r="AG113" s="335"/>
      <c r="AH113" s="335"/>
      <c r="AI113" s="335"/>
      <c r="AJ113" s="335"/>
      <c r="AK113" s="338"/>
      <c r="AL113" s="335"/>
      <c r="AM113" s="335"/>
      <c r="AN113" s="335"/>
      <c r="AO113" s="335"/>
      <c r="AP113" s="335"/>
      <c r="AQ113" s="335"/>
      <c r="AR113" s="335"/>
      <c r="AS113" s="338"/>
      <c r="AT113" s="335"/>
      <c r="AU113" s="335"/>
      <c r="AV113" s="335"/>
      <c r="AW113" s="335"/>
      <c r="AX113" s="335"/>
      <c r="AY113" s="335"/>
      <c r="AZ113" s="335"/>
      <c r="BA113" s="335"/>
      <c r="BB113" s="340"/>
      <c r="BC113" s="339"/>
      <c r="BD113" s="339"/>
      <c r="BE113" s="339"/>
      <c r="BF113" s="339"/>
      <c r="BG113" s="339"/>
      <c r="BH113" s="339"/>
      <c r="BI113" s="339"/>
      <c r="BJ113" s="333"/>
      <c r="BK113" s="338"/>
      <c r="BL113" s="333"/>
      <c r="BM113" s="333"/>
      <c r="BN113" s="333"/>
      <c r="BO113" s="333"/>
      <c r="BP113" s="333"/>
      <c r="BQ113" s="333"/>
    </row>
    <row r="114" spans="1:69" s="260" customFormat="1" ht="22.5" customHeight="1">
      <c r="J114" s="340"/>
      <c r="K114" s="339"/>
      <c r="L114" s="339"/>
      <c r="M114" s="339"/>
      <c r="N114" s="339"/>
      <c r="O114" s="339"/>
      <c r="P114" s="339"/>
      <c r="Q114" s="339"/>
      <c r="R114" s="331"/>
      <c r="S114" s="339"/>
      <c r="T114" s="339"/>
      <c r="U114" s="339"/>
      <c r="V114" s="339"/>
      <c r="W114" s="339"/>
      <c r="X114" s="339"/>
      <c r="Y114" s="339"/>
      <c r="Z114" s="340"/>
      <c r="AA114" s="339"/>
      <c r="AB114" s="339"/>
      <c r="AC114" s="339"/>
      <c r="AD114" s="339"/>
      <c r="AE114" s="339"/>
      <c r="AF114" s="339"/>
      <c r="AG114" s="339"/>
      <c r="AH114" s="339"/>
      <c r="AI114" s="339"/>
      <c r="AJ114" s="339"/>
      <c r="AK114" s="340"/>
      <c r="AL114" s="339"/>
      <c r="AM114" s="339"/>
      <c r="AN114" s="339"/>
      <c r="AO114" s="339"/>
      <c r="AP114" s="339"/>
      <c r="AQ114" s="339"/>
      <c r="AR114" s="339"/>
      <c r="AS114" s="340"/>
      <c r="AT114" s="339"/>
      <c r="AU114" s="339"/>
      <c r="AV114" s="339"/>
      <c r="AW114" s="339"/>
      <c r="AX114" s="339"/>
      <c r="AY114" s="339"/>
      <c r="AZ114" s="339"/>
      <c r="BA114" s="336"/>
      <c r="BB114" s="338"/>
      <c r="BC114" s="335"/>
      <c r="BD114" s="335"/>
      <c r="BE114" s="335"/>
      <c r="BF114" s="335"/>
      <c r="BG114" s="335"/>
      <c r="BH114" s="335"/>
      <c r="BI114" s="335"/>
      <c r="BJ114" s="335"/>
      <c r="BK114" s="338"/>
      <c r="BL114" s="335"/>
      <c r="BM114" s="335"/>
      <c r="BN114" s="335"/>
      <c r="BO114" s="335"/>
      <c r="BP114" s="335"/>
      <c r="BQ114" s="335"/>
    </row>
    <row r="115" spans="1:69" s="259" customFormat="1" ht="22.5" customHeight="1">
      <c r="J115" s="338"/>
      <c r="K115" s="335"/>
      <c r="L115" s="335"/>
      <c r="M115" s="335"/>
      <c r="N115" s="335"/>
      <c r="O115" s="335"/>
      <c r="P115" s="335"/>
      <c r="Q115" s="335"/>
      <c r="R115" s="332"/>
      <c r="S115" s="335"/>
      <c r="T115" s="335"/>
      <c r="U115" s="335"/>
      <c r="V115" s="335"/>
      <c r="W115" s="335"/>
      <c r="X115" s="335"/>
      <c r="Y115" s="335"/>
      <c r="Z115" s="338"/>
      <c r="AA115" s="335"/>
      <c r="AB115" s="335"/>
      <c r="AC115" s="335"/>
      <c r="AD115" s="335"/>
      <c r="AE115" s="335"/>
      <c r="AF115" s="335"/>
      <c r="AG115" s="335"/>
      <c r="AH115" s="335"/>
      <c r="AI115" s="335"/>
      <c r="AJ115" s="335"/>
      <c r="AK115" s="338"/>
      <c r="AL115" s="335"/>
      <c r="AM115" s="335"/>
      <c r="AN115" s="335"/>
      <c r="AO115" s="335"/>
      <c r="AP115" s="335"/>
      <c r="AQ115" s="335"/>
      <c r="AR115" s="335"/>
      <c r="AS115" s="338"/>
      <c r="AT115" s="335"/>
      <c r="AU115" s="335"/>
      <c r="AV115" s="335"/>
      <c r="AW115" s="335"/>
      <c r="AX115" s="335"/>
      <c r="AY115" s="335"/>
      <c r="AZ115" s="335"/>
      <c r="BA115" s="336"/>
      <c r="BB115" s="337"/>
      <c r="BC115" s="336"/>
      <c r="BD115" s="336"/>
      <c r="BE115" s="336"/>
      <c r="BF115" s="336"/>
      <c r="BG115" s="336"/>
      <c r="BH115" s="336"/>
      <c r="BI115" s="336"/>
      <c r="BJ115" s="335"/>
      <c r="BK115" s="338"/>
      <c r="BL115" s="335"/>
      <c r="BM115" s="335"/>
      <c r="BN115" s="335"/>
      <c r="BO115" s="335"/>
      <c r="BP115" s="335"/>
      <c r="BQ115" s="335"/>
    </row>
    <row r="116" spans="1:69" s="257" customFormat="1" ht="22.5" customHeight="1">
      <c r="B116" s="47"/>
      <c r="H116" s="47"/>
      <c r="J116" s="337"/>
      <c r="K116" s="336"/>
      <c r="L116" s="336"/>
      <c r="M116" s="336"/>
      <c r="N116" s="336"/>
      <c r="O116" s="336"/>
      <c r="P116" s="336"/>
      <c r="Q116" s="336"/>
      <c r="R116" s="332"/>
      <c r="S116" s="336"/>
      <c r="T116" s="336"/>
      <c r="U116" s="336"/>
      <c r="V116" s="336"/>
      <c r="W116" s="333"/>
      <c r="X116" s="336"/>
      <c r="Y116" s="336"/>
      <c r="Z116" s="337"/>
      <c r="AA116" s="336"/>
      <c r="AB116" s="336"/>
      <c r="AC116" s="336"/>
      <c r="AD116" s="336"/>
      <c r="AE116" s="336"/>
      <c r="AF116" s="336"/>
      <c r="AG116" s="336"/>
      <c r="AH116" s="336"/>
      <c r="AI116" s="336"/>
      <c r="AJ116" s="336"/>
      <c r="AK116" s="337"/>
      <c r="AL116" s="336"/>
      <c r="AM116" s="336"/>
      <c r="AN116" s="336"/>
      <c r="AO116" s="336"/>
      <c r="AP116" s="336"/>
      <c r="AQ116" s="336"/>
      <c r="AR116" s="336"/>
      <c r="AS116" s="337"/>
      <c r="AT116" s="336"/>
      <c r="AU116" s="336"/>
      <c r="AV116" s="336"/>
      <c r="AW116" s="336"/>
      <c r="AX116" s="336"/>
      <c r="AY116" s="336"/>
      <c r="AZ116" s="336"/>
      <c r="BA116" s="336"/>
      <c r="BB116" s="337"/>
      <c r="BC116" s="336"/>
      <c r="BD116" s="336"/>
      <c r="BE116" s="336"/>
      <c r="BF116" s="336"/>
      <c r="BG116" s="336"/>
      <c r="BH116" s="336"/>
      <c r="BI116" s="336"/>
      <c r="BJ116" s="335"/>
      <c r="BK116" s="338"/>
      <c r="BL116" s="335"/>
      <c r="BM116" s="335"/>
      <c r="BN116" s="335"/>
      <c r="BO116" s="335"/>
      <c r="BP116" s="335"/>
      <c r="BQ116" s="335"/>
    </row>
    <row r="117" spans="1:69" s="257" customFormat="1" ht="22.5" customHeight="1">
      <c r="B117" s="47"/>
      <c r="H117" s="47"/>
      <c r="J117" s="337"/>
      <c r="K117" s="336"/>
      <c r="L117" s="336"/>
      <c r="M117" s="336"/>
      <c r="N117" s="336"/>
      <c r="O117" s="336"/>
      <c r="P117" s="336"/>
      <c r="Q117" s="341"/>
      <c r="R117" s="323"/>
      <c r="S117" s="342"/>
      <c r="T117" s="336"/>
      <c r="U117" s="336"/>
      <c r="V117" s="336"/>
      <c r="W117" s="333"/>
      <c r="X117" s="336"/>
      <c r="Y117" s="336"/>
      <c r="Z117" s="337"/>
      <c r="AA117" s="336"/>
      <c r="AB117" s="336"/>
      <c r="AC117" s="336"/>
      <c r="AD117" s="336"/>
      <c r="AE117" s="336"/>
      <c r="AF117" s="336"/>
      <c r="AG117" s="336"/>
      <c r="AH117" s="336"/>
      <c r="AI117" s="336"/>
      <c r="AJ117" s="336"/>
      <c r="AK117" s="337"/>
      <c r="AL117" s="336"/>
      <c r="AM117" s="336"/>
      <c r="AN117" s="336"/>
      <c r="AO117" s="336"/>
      <c r="AP117" s="336"/>
      <c r="AQ117" s="336"/>
      <c r="AR117" s="336"/>
      <c r="AS117" s="337"/>
      <c r="AT117" s="336"/>
      <c r="AU117" s="336"/>
      <c r="AV117" s="336"/>
      <c r="AW117" s="336"/>
      <c r="AX117" s="336"/>
      <c r="AY117" s="336"/>
      <c r="AZ117" s="336"/>
      <c r="BA117" s="336"/>
      <c r="BB117" s="337"/>
      <c r="BC117" s="336"/>
      <c r="BD117" s="336"/>
      <c r="BE117" s="336"/>
      <c r="BF117" s="336"/>
      <c r="BG117" s="336"/>
      <c r="BH117" s="336"/>
      <c r="BI117" s="336"/>
      <c r="BJ117" s="335"/>
      <c r="BK117" s="338"/>
      <c r="BL117" s="335"/>
      <c r="BM117" s="335"/>
      <c r="BN117" s="335"/>
      <c r="BO117" s="335"/>
      <c r="BP117" s="335"/>
      <c r="BQ117" s="335"/>
    </row>
    <row r="118" spans="1:69" s="257" customFormat="1" ht="22.5" customHeight="1">
      <c r="B118" s="47"/>
      <c r="H118" s="47"/>
      <c r="J118" s="337"/>
      <c r="K118" s="336"/>
      <c r="L118" s="336"/>
      <c r="M118" s="336"/>
      <c r="N118" s="336"/>
      <c r="O118" s="336"/>
      <c r="P118" s="336"/>
      <c r="Q118" s="341"/>
      <c r="R118" s="323"/>
      <c r="S118" s="342"/>
      <c r="T118" s="336"/>
      <c r="U118" s="336"/>
      <c r="V118" s="336"/>
      <c r="W118" s="333"/>
      <c r="X118" s="336"/>
      <c r="Y118" s="336"/>
      <c r="Z118" s="337"/>
      <c r="AA118" s="336"/>
      <c r="AB118" s="336"/>
      <c r="AC118" s="336"/>
      <c r="AD118" s="336"/>
      <c r="AE118" s="336"/>
      <c r="AF118" s="336"/>
      <c r="AG118" s="336"/>
      <c r="AH118" s="336"/>
      <c r="AI118" s="336"/>
      <c r="AJ118" s="336"/>
      <c r="AK118" s="337"/>
      <c r="AL118" s="336"/>
      <c r="AM118" s="336"/>
      <c r="AN118" s="336"/>
      <c r="AO118" s="336"/>
      <c r="AP118" s="336"/>
      <c r="AQ118" s="336"/>
      <c r="AR118" s="336"/>
      <c r="AS118" s="337"/>
      <c r="AT118" s="336"/>
      <c r="AU118" s="336"/>
      <c r="AV118" s="336"/>
      <c r="AW118" s="336"/>
      <c r="AX118" s="336"/>
      <c r="AY118" s="336"/>
      <c r="AZ118" s="336"/>
      <c r="BA118" s="336"/>
      <c r="BB118" s="337"/>
      <c r="BC118" s="336"/>
      <c r="BD118" s="336"/>
      <c r="BE118" s="336"/>
      <c r="BF118" s="336"/>
      <c r="BG118" s="336"/>
      <c r="BH118" s="336"/>
      <c r="BI118" s="336"/>
      <c r="BJ118" s="339"/>
      <c r="BK118" s="340"/>
      <c r="BL118" s="339"/>
      <c r="BM118" s="339"/>
      <c r="BN118" s="339"/>
      <c r="BO118" s="339"/>
      <c r="BP118" s="339"/>
      <c r="BQ118" s="339"/>
    </row>
    <row r="119" spans="1:69" s="257" customFormat="1" ht="22.5" customHeight="1">
      <c r="B119" s="47"/>
      <c r="H119" s="47"/>
      <c r="J119" s="337"/>
      <c r="K119" s="336"/>
      <c r="L119" s="336"/>
      <c r="M119" s="336"/>
      <c r="N119" s="336"/>
      <c r="O119" s="336"/>
      <c r="P119" s="336"/>
      <c r="Q119" s="341"/>
      <c r="R119" s="323"/>
      <c r="S119" s="342"/>
      <c r="T119" s="336"/>
      <c r="U119" s="336"/>
      <c r="V119" s="336"/>
      <c r="W119" s="333"/>
      <c r="X119" s="336"/>
      <c r="Y119" s="336"/>
      <c r="Z119" s="337"/>
      <c r="AA119" s="336"/>
      <c r="AB119" s="336"/>
      <c r="AC119" s="336"/>
      <c r="AD119" s="336"/>
      <c r="AE119" s="336"/>
      <c r="AF119" s="336"/>
      <c r="AG119" s="336"/>
      <c r="AH119" s="336"/>
      <c r="AI119" s="336"/>
      <c r="AJ119" s="336"/>
      <c r="AK119" s="337"/>
      <c r="AL119" s="336"/>
      <c r="AM119" s="336"/>
      <c r="AN119" s="336"/>
      <c r="AO119" s="336"/>
      <c r="AP119" s="336"/>
      <c r="AQ119" s="336"/>
      <c r="AR119" s="336"/>
      <c r="AS119" s="337"/>
      <c r="AT119" s="336"/>
      <c r="AU119" s="336"/>
      <c r="AV119" s="336"/>
      <c r="AW119" s="336"/>
      <c r="AX119" s="336"/>
      <c r="AY119" s="336"/>
      <c r="AZ119" s="336"/>
      <c r="BA119" s="336"/>
      <c r="BB119" s="337"/>
      <c r="BC119" s="336"/>
      <c r="BD119" s="336"/>
      <c r="BE119" s="336"/>
      <c r="BF119" s="336"/>
      <c r="BG119" s="336"/>
      <c r="BH119" s="336"/>
      <c r="BI119" s="336"/>
      <c r="BJ119" s="335"/>
      <c r="BK119" s="338"/>
      <c r="BL119" s="335"/>
      <c r="BM119" s="335"/>
      <c r="BN119" s="335"/>
      <c r="BO119" s="335"/>
      <c r="BP119" s="335"/>
      <c r="BQ119" s="335"/>
    </row>
    <row r="120" spans="1:69" s="257" customFormat="1" ht="22.5" customHeight="1">
      <c r="B120" s="47"/>
      <c r="H120" s="47"/>
      <c r="J120" s="337"/>
      <c r="K120" s="336"/>
      <c r="L120" s="336"/>
      <c r="M120" s="336"/>
      <c r="N120" s="336"/>
      <c r="O120" s="336"/>
      <c r="P120" s="336"/>
      <c r="Q120" s="341"/>
      <c r="R120" s="323"/>
      <c r="S120" s="342"/>
      <c r="T120" s="341"/>
      <c r="U120" s="341"/>
      <c r="V120" s="341"/>
      <c r="W120" s="315"/>
      <c r="X120" s="341"/>
      <c r="Y120" s="336"/>
      <c r="Z120" s="337"/>
      <c r="AA120" s="336"/>
      <c r="AB120" s="336"/>
      <c r="AC120" s="336"/>
      <c r="AD120" s="336"/>
      <c r="AE120" s="336"/>
      <c r="AF120" s="336"/>
      <c r="AG120" s="336"/>
      <c r="AH120" s="336"/>
      <c r="AI120" s="336"/>
      <c r="AJ120" s="336"/>
      <c r="AK120" s="337"/>
      <c r="AL120" s="336"/>
      <c r="AM120" s="336"/>
      <c r="AN120" s="336"/>
      <c r="AO120" s="336"/>
      <c r="AP120" s="336"/>
      <c r="AQ120" s="336"/>
      <c r="AR120" s="336"/>
      <c r="AS120" s="337"/>
      <c r="AT120" s="336"/>
      <c r="AU120" s="336"/>
      <c r="AV120" s="336"/>
      <c r="AW120" s="336"/>
      <c r="AX120" s="336"/>
      <c r="AY120" s="336"/>
      <c r="AZ120" s="336"/>
      <c r="BA120" s="336"/>
      <c r="BB120" s="337"/>
      <c r="BC120" s="336"/>
      <c r="BD120" s="336"/>
      <c r="BE120" s="336"/>
      <c r="BF120" s="336"/>
      <c r="BG120" s="336"/>
      <c r="BH120" s="336"/>
      <c r="BI120" s="336"/>
      <c r="BJ120" s="336"/>
      <c r="BK120" s="337"/>
      <c r="BL120" s="336"/>
      <c r="BM120" s="336"/>
      <c r="BN120" s="336"/>
      <c r="BO120" s="336"/>
      <c r="BP120" s="336"/>
      <c r="BQ120" s="336"/>
    </row>
    <row r="121" spans="1:69" s="257" customFormat="1" ht="22.5" customHeight="1">
      <c r="B121" s="47"/>
      <c r="H121" s="47"/>
      <c r="J121" s="337"/>
      <c r="K121" s="336"/>
      <c r="L121" s="336"/>
      <c r="M121" s="336"/>
      <c r="N121" s="336"/>
      <c r="O121" s="336"/>
      <c r="P121" s="336"/>
      <c r="Q121" s="336"/>
      <c r="R121" s="332"/>
      <c r="S121" s="336"/>
      <c r="T121" s="336"/>
      <c r="U121" s="336"/>
      <c r="V121" s="336"/>
      <c r="W121" s="333"/>
      <c r="X121" s="336"/>
      <c r="Y121" s="336"/>
      <c r="Z121" s="337"/>
      <c r="AA121" s="336"/>
      <c r="AB121" s="336"/>
      <c r="AC121" s="336"/>
      <c r="AD121" s="336"/>
      <c r="AE121" s="336"/>
      <c r="AF121" s="336"/>
      <c r="AG121" s="336"/>
      <c r="AH121" s="336"/>
      <c r="AI121" s="336"/>
      <c r="AJ121" s="336"/>
      <c r="AK121" s="337"/>
      <c r="AL121" s="336"/>
      <c r="AM121" s="336"/>
      <c r="AN121" s="336"/>
      <c r="AO121" s="336"/>
      <c r="AP121" s="336"/>
      <c r="AQ121" s="336"/>
      <c r="AR121" s="336"/>
      <c r="AS121" s="337"/>
      <c r="AT121" s="336"/>
      <c r="AU121" s="336"/>
      <c r="AV121" s="336"/>
      <c r="AW121" s="336"/>
      <c r="AX121" s="336"/>
      <c r="AY121" s="336"/>
      <c r="AZ121" s="336"/>
      <c r="BA121" s="336"/>
      <c r="BB121" s="337"/>
      <c r="BC121" s="336"/>
      <c r="BD121" s="336"/>
      <c r="BE121" s="336"/>
      <c r="BF121" s="336"/>
      <c r="BG121" s="336"/>
      <c r="BH121" s="336"/>
      <c r="BI121" s="336"/>
      <c r="BJ121" s="336"/>
      <c r="BK121" s="337"/>
      <c r="BL121" s="336"/>
      <c r="BM121" s="336"/>
      <c r="BN121" s="336"/>
      <c r="BO121" s="336"/>
      <c r="BP121" s="336"/>
      <c r="BQ121" s="336"/>
    </row>
    <row r="122" spans="1:69" s="257" customFormat="1" ht="22.5" customHeight="1">
      <c r="A122" s="258"/>
      <c r="B122" s="47"/>
      <c r="H122" s="47"/>
      <c r="J122" s="337"/>
      <c r="K122" s="336"/>
      <c r="L122" s="336"/>
      <c r="M122" s="336"/>
      <c r="N122" s="336"/>
      <c r="O122" s="336"/>
      <c r="P122" s="336"/>
      <c r="Q122" s="336"/>
      <c r="R122" s="332"/>
      <c r="S122" s="336"/>
      <c r="T122" s="336"/>
      <c r="U122" s="336"/>
      <c r="V122" s="336"/>
      <c r="W122" s="333"/>
      <c r="X122" s="336"/>
      <c r="Y122" s="336"/>
      <c r="Z122" s="337"/>
      <c r="AA122" s="336"/>
      <c r="AB122" s="336"/>
      <c r="AC122" s="336"/>
      <c r="AD122" s="336"/>
      <c r="AE122" s="336"/>
      <c r="AF122" s="336"/>
      <c r="AG122" s="336"/>
      <c r="AH122" s="336"/>
      <c r="AI122" s="336"/>
      <c r="AJ122" s="336"/>
      <c r="AK122" s="337"/>
      <c r="AL122" s="336"/>
      <c r="AM122" s="336"/>
      <c r="AN122" s="336"/>
      <c r="AO122" s="336"/>
      <c r="AP122" s="336"/>
      <c r="AQ122" s="336"/>
      <c r="AR122" s="336"/>
      <c r="AS122" s="337"/>
      <c r="AT122" s="336"/>
      <c r="AU122" s="336"/>
      <c r="AV122" s="336"/>
      <c r="AW122" s="336"/>
      <c r="AX122" s="336"/>
      <c r="AY122" s="336"/>
      <c r="AZ122" s="336"/>
      <c r="BA122" s="336"/>
      <c r="BB122" s="337"/>
      <c r="BC122" s="336"/>
      <c r="BD122" s="336"/>
      <c r="BE122" s="336"/>
      <c r="BF122" s="336"/>
      <c r="BG122" s="336"/>
      <c r="BH122" s="336"/>
      <c r="BI122" s="336"/>
      <c r="BJ122" s="336"/>
      <c r="BK122" s="337"/>
      <c r="BL122" s="336"/>
      <c r="BM122" s="336"/>
      <c r="BN122" s="336"/>
      <c r="BO122" s="336"/>
      <c r="BP122" s="336"/>
      <c r="BQ122" s="336"/>
    </row>
    <row r="123" spans="1:69" s="257" customFormat="1" ht="22.5" customHeight="1">
      <c r="B123" s="47"/>
      <c r="H123" s="47"/>
      <c r="J123" s="337"/>
      <c r="K123" s="336"/>
      <c r="L123" s="336"/>
      <c r="M123" s="336"/>
      <c r="N123" s="336"/>
      <c r="O123" s="336"/>
      <c r="P123" s="336"/>
      <c r="Q123" s="336"/>
      <c r="R123" s="332"/>
      <c r="S123" s="336"/>
      <c r="T123" s="336"/>
      <c r="U123" s="336"/>
      <c r="V123" s="336"/>
      <c r="W123" s="333"/>
      <c r="X123" s="336"/>
      <c r="Y123" s="336"/>
      <c r="Z123" s="337"/>
      <c r="AA123" s="336"/>
      <c r="AB123" s="336"/>
      <c r="AC123" s="336"/>
      <c r="AD123" s="336"/>
      <c r="AE123" s="336"/>
      <c r="AF123" s="336"/>
      <c r="AG123" s="336"/>
      <c r="AH123" s="336"/>
      <c r="AI123" s="336"/>
      <c r="AJ123" s="336"/>
      <c r="AK123" s="337"/>
      <c r="AL123" s="336"/>
      <c r="AM123" s="336"/>
      <c r="AN123" s="336"/>
      <c r="AO123" s="336"/>
      <c r="AP123" s="336"/>
      <c r="AQ123" s="336"/>
      <c r="AR123" s="336"/>
      <c r="AS123" s="337"/>
      <c r="AT123" s="336"/>
      <c r="AU123" s="336"/>
      <c r="AV123" s="336"/>
      <c r="AW123" s="336"/>
      <c r="AX123" s="336"/>
      <c r="AY123" s="336"/>
      <c r="AZ123" s="336"/>
      <c r="BA123" s="333"/>
      <c r="BB123" s="337"/>
      <c r="BC123" s="336"/>
      <c r="BD123" s="336"/>
      <c r="BE123" s="336"/>
      <c r="BF123" s="336"/>
      <c r="BG123" s="336"/>
      <c r="BH123" s="336"/>
      <c r="BI123" s="336"/>
      <c r="BJ123" s="336"/>
      <c r="BK123" s="337"/>
      <c r="BL123" s="336"/>
      <c r="BM123" s="336"/>
      <c r="BN123" s="336"/>
      <c r="BO123" s="336"/>
      <c r="BP123" s="336"/>
      <c r="BQ123" s="336"/>
    </row>
    <row r="124" spans="1:69" s="257" customFormat="1" ht="22.5" customHeight="1">
      <c r="B124" s="47"/>
      <c r="H124" s="47"/>
      <c r="J124" s="337"/>
      <c r="K124" s="336"/>
      <c r="L124" s="336"/>
      <c r="M124" s="336"/>
      <c r="N124" s="336"/>
      <c r="O124" s="336"/>
      <c r="P124" s="336"/>
      <c r="Q124" s="336"/>
      <c r="R124" s="332"/>
      <c r="S124" s="336"/>
      <c r="T124" s="336"/>
      <c r="U124" s="336"/>
      <c r="V124" s="336"/>
      <c r="W124" s="333"/>
      <c r="X124" s="336"/>
      <c r="Y124" s="336"/>
      <c r="Z124" s="337"/>
      <c r="AA124" s="336"/>
      <c r="AB124" s="336"/>
      <c r="AC124" s="336"/>
      <c r="AD124" s="336"/>
      <c r="AE124" s="336"/>
      <c r="AF124" s="336"/>
      <c r="AG124" s="336"/>
      <c r="AH124" s="336"/>
      <c r="AI124" s="336"/>
      <c r="AJ124" s="336"/>
      <c r="AK124" s="337"/>
      <c r="AL124" s="336"/>
      <c r="AM124" s="336"/>
      <c r="AN124" s="336"/>
      <c r="AO124" s="336"/>
      <c r="AP124" s="336"/>
      <c r="AQ124" s="336"/>
      <c r="AR124" s="336"/>
      <c r="AS124" s="337"/>
      <c r="AT124" s="336"/>
      <c r="AU124" s="336"/>
      <c r="AV124" s="336"/>
      <c r="AW124" s="336"/>
      <c r="AX124" s="336"/>
      <c r="AY124" s="336"/>
      <c r="AZ124" s="336"/>
      <c r="BA124" s="333"/>
      <c r="BB124" s="338"/>
      <c r="BC124" s="333"/>
      <c r="BD124" s="333"/>
      <c r="BE124" s="333"/>
      <c r="BF124" s="333"/>
      <c r="BG124" s="333"/>
      <c r="BH124" s="333"/>
      <c r="BI124" s="333"/>
      <c r="BJ124" s="336"/>
      <c r="BK124" s="337"/>
      <c r="BL124" s="336"/>
      <c r="BM124" s="336"/>
      <c r="BN124" s="336"/>
      <c r="BO124" s="336"/>
      <c r="BP124" s="336"/>
      <c r="BQ124" s="336"/>
    </row>
    <row r="125" spans="1:69" s="47" customFormat="1" ht="22.5" customHeight="1">
      <c r="J125" s="338"/>
      <c r="K125" s="333"/>
      <c r="L125" s="333"/>
      <c r="M125" s="333"/>
      <c r="N125" s="333"/>
      <c r="O125" s="333"/>
      <c r="P125" s="333"/>
      <c r="Q125" s="333"/>
      <c r="R125" s="332"/>
      <c r="S125" s="333"/>
      <c r="T125" s="333"/>
      <c r="U125" s="333"/>
      <c r="V125" s="333"/>
      <c r="W125" s="333"/>
      <c r="X125" s="333"/>
      <c r="Y125" s="333"/>
      <c r="Z125" s="338"/>
      <c r="AA125" s="333"/>
      <c r="AB125" s="333"/>
      <c r="AC125" s="333"/>
      <c r="AD125" s="333"/>
      <c r="AE125" s="333"/>
      <c r="AF125" s="333"/>
      <c r="AG125" s="333"/>
      <c r="AH125" s="333"/>
      <c r="AI125" s="333"/>
      <c r="AJ125" s="333"/>
      <c r="AK125" s="338"/>
      <c r="AL125" s="333"/>
      <c r="AM125" s="333"/>
      <c r="AN125" s="333"/>
      <c r="AO125" s="333"/>
      <c r="AP125" s="333"/>
      <c r="AQ125" s="333"/>
      <c r="AR125" s="333"/>
      <c r="AS125" s="338"/>
      <c r="AT125" s="333"/>
      <c r="AU125" s="333"/>
      <c r="AV125" s="333"/>
      <c r="AW125" s="333"/>
      <c r="AX125" s="333"/>
      <c r="AY125" s="333"/>
      <c r="AZ125" s="333"/>
      <c r="BA125" s="333"/>
      <c r="BB125" s="338"/>
      <c r="BC125" s="333"/>
      <c r="BD125" s="333"/>
      <c r="BE125" s="333"/>
      <c r="BF125" s="333"/>
      <c r="BG125" s="333"/>
      <c r="BH125" s="333"/>
      <c r="BI125" s="333"/>
      <c r="BJ125" s="336"/>
      <c r="BK125" s="337"/>
      <c r="BL125" s="336"/>
      <c r="BM125" s="336"/>
      <c r="BN125" s="336"/>
      <c r="BO125" s="336"/>
      <c r="BP125" s="336"/>
      <c r="BQ125" s="336"/>
    </row>
    <row r="126" spans="1:69" s="47" customFormat="1" ht="22.5" customHeight="1">
      <c r="J126" s="338"/>
      <c r="K126" s="333"/>
      <c r="L126" s="333"/>
      <c r="M126" s="333"/>
      <c r="N126" s="333"/>
      <c r="O126" s="333"/>
      <c r="P126" s="333"/>
      <c r="Q126" s="333"/>
      <c r="R126" s="332"/>
      <c r="S126" s="333"/>
      <c r="T126" s="333"/>
      <c r="U126" s="333"/>
      <c r="V126" s="333"/>
      <c r="W126" s="333"/>
      <c r="X126" s="333"/>
      <c r="Y126" s="333"/>
      <c r="Z126" s="338"/>
      <c r="AA126" s="333"/>
      <c r="AB126" s="333"/>
      <c r="AC126" s="333"/>
      <c r="AD126" s="333"/>
      <c r="AE126" s="333"/>
      <c r="AF126" s="333"/>
      <c r="AG126" s="333"/>
      <c r="AH126" s="333"/>
      <c r="AI126" s="333"/>
      <c r="AJ126" s="333"/>
      <c r="AK126" s="338"/>
      <c r="AL126" s="333"/>
      <c r="AM126" s="333"/>
      <c r="AN126" s="333"/>
      <c r="AO126" s="333"/>
      <c r="AP126" s="333"/>
      <c r="AQ126" s="333"/>
      <c r="AR126" s="333"/>
      <c r="AS126" s="338"/>
      <c r="AT126" s="333"/>
      <c r="AU126" s="333"/>
      <c r="AV126" s="333"/>
      <c r="AW126" s="333"/>
      <c r="AX126" s="333"/>
      <c r="AY126" s="333"/>
      <c r="AZ126" s="333"/>
      <c r="BA126" s="333"/>
      <c r="BB126" s="338"/>
      <c r="BC126" s="333"/>
      <c r="BD126" s="333"/>
      <c r="BE126" s="333"/>
      <c r="BF126" s="333"/>
      <c r="BG126" s="333"/>
      <c r="BH126" s="333"/>
      <c r="BI126" s="333"/>
      <c r="BJ126" s="336"/>
      <c r="BK126" s="337"/>
      <c r="BL126" s="336"/>
      <c r="BM126" s="336"/>
      <c r="BN126" s="336"/>
      <c r="BO126" s="336"/>
      <c r="BP126" s="336"/>
      <c r="BQ126" s="336"/>
    </row>
    <row r="127" spans="1:69" s="47" customFormat="1" ht="22.5" customHeight="1">
      <c r="J127" s="338"/>
      <c r="K127" s="333"/>
      <c r="L127" s="333"/>
      <c r="M127" s="333"/>
      <c r="N127" s="333"/>
      <c r="O127" s="333"/>
      <c r="P127" s="333"/>
      <c r="Q127" s="333"/>
      <c r="R127" s="332"/>
      <c r="S127" s="333"/>
      <c r="T127" s="333"/>
      <c r="U127" s="333"/>
      <c r="V127" s="333"/>
      <c r="W127" s="333"/>
      <c r="X127" s="333"/>
      <c r="Y127" s="333"/>
      <c r="Z127" s="338"/>
      <c r="AA127" s="333"/>
      <c r="AB127" s="333"/>
      <c r="AC127" s="333"/>
      <c r="AD127" s="333"/>
      <c r="AE127" s="333"/>
      <c r="AF127" s="333"/>
      <c r="AG127" s="333"/>
      <c r="AH127" s="333"/>
      <c r="AI127" s="333"/>
      <c r="AJ127" s="333"/>
      <c r="AK127" s="338"/>
      <c r="AL127" s="333"/>
      <c r="AM127" s="333"/>
      <c r="AN127" s="333"/>
      <c r="AO127" s="333"/>
      <c r="AP127" s="333"/>
      <c r="AQ127" s="333"/>
      <c r="AR127" s="333"/>
      <c r="AS127" s="338"/>
      <c r="AT127" s="333"/>
      <c r="AU127" s="333"/>
      <c r="AV127" s="333"/>
      <c r="AW127" s="333"/>
      <c r="AX127" s="333"/>
      <c r="AY127" s="333"/>
      <c r="AZ127" s="333"/>
      <c r="BA127" s="333"/>
      <c r="BB127" s="338"/>
      <c r="BC127" s="333"/>
      <c r="BD127" s="333"/>
      <c r="BE127" s="333"/>
      <c r="BF127" s="333"/>
      <c r="BG127" s="333"/>
      <c r="BH127" s="333"/>
      <c r="BI127" s="333"/>
      <c r="BJ127" s="336"/>
      <c r="BK127" s="337"/>
      <c r="BL127" s="336"/>
      <c r="BM127" s="336"/>
      <c r="BN127" s="336"/>
      <c r="BO127" s="336"/>
      <c r="BP127" s="336"/>
      <c r="BQ127" s="336"/>
    </row>
    <row r="128" spans="1:69" s="47" customFormat="1" ht="22.5" customHeight="1">
      <c r="A128" s="256"/>
      <c r="J128" s="338"/>
      <c r="K128" s="333"/>
      <c r="L128" s="333"/>
      <c r="M128" s="333"/>
      <c r="N128" s="333"/>
      <c r="O128" s="333"/>
      <c r="P128" s="333"/>
      <c r="Q128" s="333"/>
      <c r="R128" s="332"/>
      <c r="S128" s="333"/>
      <c r="T128" s="333"/>
      <c r="U128" s="333"/>
      <c r="V128" s="333"/>
      <c r="W128" s="333"/>
      <c r="X128" s="333"/>
      <c r="Y128" s="333"/>
      <c r="Z128" s="338"/>
      <c r="AA128" s="333"/>
      <c r="AB128" s="333"/>
      <c r="AC128" s="333"/>
      <c r="AD128" s="333"/>
      <c r="AE128" s="333"/>
      <c r="AF128" s="333"/>
      <c r="AG128" s="333"/>
      <c r="AH128" s="333"/>
      <c r="AI128" s="333"/>
      <c r="AJ128" s="333"/>
      <c r="AK128" s="338"/>
      <c r="AL128" s="333"/>
      <c r="AM128" s="333"/>
      <c r="AN128" s="333"/>
      <c r="AO128" s="333"/>
      <c r="AP128" s="333"/>
      <c r="AQ128" s="333"/>
      <c r="AR128" s="333"/>
      <c r="AS128" s="338"/>
      <c r="AT128" s="333"/>
      <c r="AU128" s="333"/>
      <c r="AV128" s="333"/>
      <c r="AW128" s="333"/>
      <c r="AX128" s="333"/>
      <c r="AY128" s="333"/>
      <c r="AZ128" s="333"/>
      <c r="BA128" s="333"/>
      <c r="BB128" s="338"/>
      <c r="BC128" s="333"/>
      <c r="BD128" s="333"/>
      <c r="BE128" s="333"/>
      <c r="BF128" s="333"/>
      <c r="BG128" s="333"/>
      <c r="BH128" s="333"/>
      <c r="BI128" s="333"/>
      <c r="BJ128" s="336"/>
      <c r="BK128" s="337"/>
      <c r="BL128" s="336"/>
      <c r="BM128" s="336"/>
      <c r="BN128" s="336"/>
      <c r="BO128" s="336"/>
      <c r="BP128" s="336"/>
      <c r="BQ128" s="336"/>
    </row>
    <row r="129" spans="1:69" s="47" customFormat="1" ht="22.5" customHeight="1">
      <c r="J129" s="338"/>
      <c r="K129" s="333"/>
      <c r="L129" s="333"/>
      <c r="M129" s="333"/>
      <c r="N129" s="333"/>
      <c r="O129" s="333"/>
      <c r="P129" s="333"/>
      <c r="Q129" s="333"/>
      <c r="R129" s="332"/>
      <c r="S129" s="333"/>
      <c r="T129" s="333"/>
      <c r="U129" s="333"/>
      <c r="V129" s="333"/>
      <c r="W129" s="333"/>
      <c r="X129" s="333"/>
      <c r="Y129" s="333"/>
      <c r="Z129" s="338"/>
      <c r="AA129" s="333"/>
      <c r="AB129" s="333"/>
      <c r="AC129" s="333"/>
      <c r="AD129" s="333"/>
      <c r="AE129" s="333"/>
      <c r="AF129" s="333"/>
      <c r="AG129" s="333"/>
      <c r="AH129" s="333"/>
      <c r="AI129" s="333"/>
      <c r="AJ129" s="333"/>
      <c r="AK129" s="338"/>
      <c r="AL129" s="333"/>
      <c r="AM129" s="333"/>
      <c r="AN129" s="333"/>
      <c r="AO129" s="333"/>
      <c r="AP129" s="333"/>
      <c r="AQ129" s="333"/>
      <c r="AR129" s="333"/>
      <c r="AS129" s="338"/>
      <c r="AT129" s="333"/>
      <c r="AU129" s="333"/>
      <c r="AV129" s="333"/>
      <c r="AW129" s="333"/>
      <c r="AX129" s="333"/>
      <c r="AY129" s="333"/>
      <c r="AZ129" s="333"/>
      <c r="BA129" s="333"/>
      <c r="BB129" s="338"/>
      <c r="BC129" s="333"/>
      <c r="BD129" s="333"/>
      <c r="BE129" s="333"/>
      <c r="BF129" s="333"/>
      <c r="BG129" s="333"/>
      <c r="BH129" s="333"/>
      <c r="BI129" s="333"/>
      <c r="BJ129" s="333"/>
      <c r="BK129" s="338"/>
      <c r="BL129" s="333"/>
      <c r="BM129" s="333"/>
      <c r="BN129" s="333"/>
      <c r="BO129" s="333"/>
      <c r="BP129" s="333"/>
      <c r="BQ129" s="333"/>
    </row>
    <row r="130" spans="1:69" s="47" customFormat="1" ht="22.5" customHeight="1">
      <c r="J130" s="338"/>
      <c r="K130" s="333"/>
      <c r="L130" s="333"/>
      <c r="M130" s="333"/>
      <c r="N130" s="333"/>
      <c r="O130" s="333"/>
      <c r="P130" s="333"/>
      <c r="Q130" s="333"/>
      <c r="R130" s="332"/>
      <c r="S130" s="333"/>
      <c r="T130" s="333"/>
      <c r="U130" s="333"/>
      <c r="V130" s="333"/>
      <c r="W130" s="333"/>
      <c r="X130" s="333"/>
      <c r="Y130" s="333"/>
      <c r="Z130" s="338"/>
      <c r="AA130" s="333"/>
      <c r="AB130" s="333"/>
      <c r="AC130" s="333"/>
      <c r="AD130" s="333"/>
      <c r="AE130" s="333"/>
      <c r="AF130" s="333"/>
      <c r="AG130" s="333"/>
      <c r="AH130" s="333"/>
      <c r="AI130" s="333"/>
      <c r="AJ130" s="333"/>
      <c r="AK130" s="338"/>
      <c r="AL130" s="333"/>
      <c r="AM130" s="333"/>
      <c r="AN130" s="333"/>
      <c r="AO130" s="333"/>
      <c r="AP130" s="333"/>
      <c r="AQ130" s="333"/>
      <c r="AR130" s="333"/>
      <c r="AS130" s="338"/>
      <c r="AT130" s="333"/>
      <c r="AU130" s="333"/>
      <c r="AV130" s="333"/>
      <c r="AW130" s="333"/>
      <c r="AX130" s="333"/>
      <c r="AY130" s="333"/>
      <c r="AZ130" s="333"/>
      <c r="BA130" s="333"/>
      <c r="BB130" s="338"/>
      <c r="BC130" s="333"/>
      <c r="BD130" s="333"/>
      <c r="BE130" s="333"/>
      <c r="BF130" s="333"/>
      <c r="BG130" s="333"/>
      <c r="BH130" s="333"/>
      <c r="BI130" s="333"/>
      <c r="BJ130" s="333"/>
      <c r="BK130" s="338"/>
      <c r="BL130" s="333"/>
      <c r="BM130" s="333"/>
      <c r="BN130" s="333"/>
      <c r="BO130" s="333"/>
      <c r="BP130" s="333"/>
      <c r="BQ130" s="333"/>
    </row>
    <row r="131" spans="1:69" s="47" customFormat="1" ht="22.5" customHeight="1">
      <c r="J131" s="338"/>
      <c r="K131" s="333"/>
      <c r="L131" s="333"/>
      <c r="M131" s="333"/>
      <c r="N131" s="333"/>
      <c r="O131" s="333"/>
      <c r="P131" s="333"/>
      <c r="Q131" s="333"/>
      <c r="R131" s="332"/>
      <c r="S131" s="333"/>
      <c r="T131" s="333"/>
      <c r="U131" s="333"/>
      <c r="V131" s="333"/>
      <c r="W131" s="333"/>
      <c r="X131" s="333"/>
      <c r="Y131" s="333"/>
      <c r="Z131" s="338"/>
      <c r="AA131" s="333"/>
      <c r="AB131" s="333"/>
      <c r="AC131" s="333"/>
      <c r="AD131" s="333"/>
      <c r="AE131" s="333"/>
      <c r="AF131" s="333"/>
      <c r="AG131" s="333"/>
      <c r="AH131" s="333"/>
      <c r="AI131" s="333"/>
      <c r="AJ131" s="333"/>
      <c r="AK131" s="338"/>
      <c r="AL131" s="333"/>
      <c r="AM131" s="333"/>
      <c r="AN131" s="333"/>
      <c r="AO131" s="333"/>
      <c r="AP131" s="333"/>
      <c r="AQ131" s="333"/>
      <c r="AR131" s="333"/>
      <c r="AS131" s="338"/>
      <c r="AT131" s="333"/>
      <c r="AU131" s="333"/>
      <c r="AV131" s="333"/>
      <c r="AW131" s="333"/>
      <c r="AX131" s="333"/>
      <c r="AY131" s="333"/>
      <c r="AZ131" s="333"/>
      <c r="BA131" s="333"/>
      <c r="BB131" s="338"/>
      <c r="BC131" s="333"/>
      <c r="BD131" s="333"/>
      <c r="BE131" s="333"/>
      <c r="BF131" s="333"/>
      <c r="BG131" s="333"/>
      <c r="BH131" s="333"/>
      <c r="BI131" s="333"/>
      <c r="BJ131" s="333"/>
      <c r="BK131" s="338"/>
      <c r="BL131" s="333"/>
      <c r="BM131" s="333"/>
      <c r="BN131" s="333"/>
      <c r="BO131" s="333"/>
      <c r="BP131" s="333"/>
      <c r="BQ131" s="333"/>
    </row>
    <row r="132" spans="1:69" s="47" customFormat="1" ht="22.5" customHeight="1">
      <c r="J132" s="338"/>
      <c r="K132" s="333"/>
      <c r="L132" s="333"/>
      <c r="M132" s="333"/>
      <c r="N132" s="333"/>
      <c r="O132" s="333"/>
      <c r="P132" s="333"/>
      <c r="Q132" s="333"/>
      <c r="R132" s="332"/>
      <c r="S132" s="333"/>
      <c r="T132" s="333"/>
      <c r="U132" s="333"/>
      <c r="V132" s="333"/>
      <c r="W132" s="333"/>
      <c r="X132" s="333"/>
      <c r="Y132" s="333"/>
      <c r="Z132" s="338"/>
      <c r="AA132" s="333"/>
      <c r="AB132" s="333"/>
      <c r="AC132" s="333"/>
      <c r="AD132" s="333"/>
      <c r="AE132" s="333"/>
      <c r="AF132" s="333"/>
      <c r="AG132" s="333"/>
      <c r="AH132" s="333"/>
      <c r="AI132" s="333"/>
      <c r="AJ132" s="333"/>
      <c r="AK132" s="338"/>
      <c r="AL132" s="333"/>
      <c r="AM132" s="333"/>
      <c r="AN132" s="333"/>
      <c r="AO132" s="333"/>
      <c r="AP132" s="333"/>
      <c r="AQ132" s="333"/>
      <c r="AR132" s="333"/>
      <c r="AS132" s="338"/>
      <c r="AT132" s="333"/>
      <c r="AU132" s="333"/>
      <c r="AV132" s="333"/>
      <c r="AW132" s="333"/>
      <c r="AX132" s="333"/>
      <c r="AY132" s="333"/>
      <c r="AZ132" s="333"/>
      <c r="BA132" s="333"/>
      <c r="BB132" s="338"/>
      <c r="BC132" s="333"/>
      <c r="BD132" s="333"/>
      <c r="BE132" s="333"/>
      <c r="BF132" s="333"/>
      <c r="BG132" s="333"/>
      <c r="BH132" s="333"/>
      <c r="BI132" s="333"/>
      <c r="BJ132" s="333"/>
      <c r="BK132" s="338"/>
      <c r="BL132" s="333"/>
      <c r="BM132" s="333"/>
      <c r="BN132" s="333"/>
      <c r="BO132" s="333"/>
      <c r="BP132" s="333"/>
      <c r="BQ132" s="333"/>
    </row>
    <row r="133" spans="1:69" s="47" customFormat="1" ht="22.5" customHeight="1">
      <c r="A133" s="134"/>
      <c r="B133" s="1530"/>
      <c r="C133" s="1530"/>
      <c r="D133" s="133"/>
      <c r="E133" s="136"/>
      <c r="F133" s="133"/>
      <c r="G133" s="133"/>
      <c r="H133" s="133"/>
      <c r="I133" s="133"/>
      <c r="J133" s="338"/>
      <c r="K133" s="333"/>
      <c r="L133" s="333"/>
      <c r="M133" s="333"/>
      <c r="N133" s="333"/>
      <c r="O133" s="333"/>
      <c r="P133" s="333"/>
      <c r="Q133" s="333"/>
      <c r="R133" s="332"/>
      <c r="S133" s="333"/>
      <c r="T133" s="333"/>
      <c r="U133" s="333"/>
      <c r="V133" s="333"/>
      <c r="W133" s="333"/>
      <c r="X133" s="333"/>
      <c r="Y133" s="333"/>
      <c r="Z133" s="338"/>
      <c r="AA133" s="333"/>
      <c r="AB133" s="333"/>
      <c r="AC133" s="333"/>
      <c r="AD133" s="333"/>
      <c r="AE133" s="333"/>
      <c r="AF133" s="333"/>
      <c r="AG133" s="333"/>
      <c r="AH133" s="333"/>
      <c r="AI133" s="333"/>
      <c r="AJ133" s="333"/>
      <c r="AK133" s="338"/>
      <c r="AL133" s="333"/>
      <c r="AM133" s="333"/>
      <c r="AN133" s="333"/>
      <c r="AO133" s="333"/>
      <c r="AP133" s="333"/>
      <c r="AQ133" s="333"/>
      <c r="AR133" s="333"/>
      <c r="AS133" s="338"/>
      <c r="AT133" s="333"/>
      <c r="AU133" s="333"/>
      <c r="AV133" s="333"/>
      <c r="AW133" s="333"/>
      <c r="AX133" s="333"/>
      <c r="AY133" s="333"/>
      <c r="AZ133" s="333"/>
      <c r="BA133" s="333"/>
      <c r="BB133" s="338"/>
      <c r="BC133" s="333"/>
      <c r="BD133" s="333"/>
      <c r="BE133" s="333"/>
      <c r="BF133" s="333"/>
      <c r="BG133" s="333"/>
      <c r="BH133" s="333"/>
      <c r="BI133" s="333"/>
      <c r="BJ133" s="333"/>
      <c r="BK133" s="338"/>
      <c r="BL133" s="333"/>
      <c r="BM133" s="333"/>
      <c r="BN133" s="333"/>
      <c r="BO133" s="333"/>
      <c r="BP133" s="333"/>
      <c r="BQ133" s="333"/>
    </row>
    <row r="134" spans="1:69" s="47" customFormat="1" ht="22.5" customHeight="1">
      <c r="A134" s="134"/>
      <c r="B134" s="1530"/>
      <c r="C134" s="1530"/>
      <c r="D134" s="133"/>
      <c r="E134" s="136"/>
      <c r="F134" s="133"/>
      <c r="G134" s="133"/>
      <c r="H134" s="133"/>
      <c r="I134" s="133"/>
      <c r="J134" s="338"/>
      <c r="K134" s="333"/>
      <c r="L134" s="333"/>
      <c r="M134" s="333"/>
      <c r="N134" s="333"/>
      <c r="O134" s="333"/>
      <c r="P134" s="333"/>
      <c r="Q134" s="333"/>
      <c r="R134" s="332"/>
      <c r="S134" s="333"/>
      <c r="T134" s="333"/>
      <c r="U134" s="333"/>
      <c r="V134" s="333"/>
      <c r="W134" s="333"/>
      <c r="X134" s="333"/>
      <c r="Y134" s="333"/>
      <c r="Z134" s="338"/>
      <c r="AA134" s="333"/>
      <c r="AB134" s="333"/>
      <c r="AC134" s="333"/>
      <c r="AD134" s="333"/>
      <c r="AE134" s="333"/>
      <c r="AF134" s="333"/>
      <c r="AG134" s="333"/>
      <c r="AH134" s="333"/>
      <c r="AI134" s="333"/>
      <c r="AJ134" s="333"/>
      <c r="AK134" s="338"/>
      <c r="AL134" s="333"/>
      <c r="AM134" s="333"/>
      <c r="AN134" s="333"/>
      <c r="AO134" s="333"/>
      <c r="AP134" s="333"/>
      <c r="AQ134" s="333"/>
      <c r="AR134" s="333"/>
      <c r="AS134" s="338"/>
      <c r="AT134" s="333"/>
      <c r="AU134" s="333"/>
      <c r="AV134" s="333"/>
      <c r="AW134" s="333"/>
      <c r="AX134" s="333"/>
      <c r="AY134" s="333"/>
      <c r="AZ134" s="333"/>
      <c r="BA134" s="333"/>
      <c r="BB134" s="338"/>
      <c r="BC134" s="333"/>
      <c r="BD134" s="333"/>
      <c r="BE134" s="333"/>
      <c r="BF134" s="333"/>
      <c r="BG134" s="333"/>
      <c r="BH134" s="333"/>
      <c r="BI134" s="333"/>
      <c r="BJ134" s="333"/>
      <c r="BK134" s="338"/>
      <c r="BL134" s="333"/>
      <c r="BM134" s="333"/>
      <c r="BN134" s="333"/>
      <c r="BO134" s="333"/>
      <c r="BP134" s="333"/>
      <c r="BQ134" s="333"/>
    </row>
    <row r="135" spans="1:69" s="47" customFormat="1" ht="22.5" customHeight="1">
      <c r="A135" s="134"/>
      <c r="B135" s="1530"/>
      <c r="C135" s="1530"/>
      <c r="D135" s="133"/>
      <c r="E135" s="136"/>
      <c r="F135" s="133"/>
      <c r="G135" s="133"/>
      <c r="H135" s="133"/>
      <c r="I135" s="133"/>
      <c r="J135" s="338"/>
      <c r="K135" s="333"/>
      <c r="L135" s="333"/>
      <c r="M135" s="333"/>
      <c r="N135" s="333"/>
      <c r="O135" s="333"/>
      <c r="P135" s="333"/>
      <c r="Q135" s="333"/>
      <c r="R135" s="332"/>
      <c r="S135" s="333"/>
      <c r="T135" s="333"/>
      <c r="U135" s="333"/>
      <c r="V135" s="333"/>
      <c r="W135" s="333"/>
      <c r="X135" s="333"/>
      <c r="Y135" s="333"/>
      <c r="Z135" s="338"/>
      <c r="AA135" s="333"/>
      <c r="AB135" s="333"/>
      <c r="AC135" s="333"/>
      <c r="AD135" s="333"/>
      <c r="AE135" s="333"/>
      <c r="AF135" s="333"/>
      <c r="AG135" s="333"/>
      <c r="AH135" s="333"/>
      <c r="AI135" s="333"/>
      <c r="AJ135" s="333"/>
      <c r="AK135" s="338"/>
      <c r="AL135" s="333"/>
      <c r="AM135" s="333"/>
      <c r="AN135" s="333"/>
      <c r="AO135" s="333"/>
      <c r="AP135" s="333"/>
      <c r="AQ135" s="333"/>
      <c r="AR135" s="333"/>
      <c r="AS135" s="338"/>
      <c r="AT135" s="333"/>
      <c r="AU135" s="333"/>
      <c r="AV135" s="333"/>
      <c r="AW135" s="333"/>
      <c r="AX135" s="333"/>
      <c r="AY135" s="333"/>
      <c r="AZ135" s="333"/>
      <c r="BA135" s="333"/>
      <c r="BB135" s="338"/>
      <c r="BC135" s="333"/>
      <c r="BD135" s="333"/>
      <c r="BE135" s="333"/>
      <c r="BF135" s="333"/>
      <c r="BG135" s="333"/>
      <c r="BH135" s="333"/>
      <c r="BI135" s="333"/>
      <c r="BJ135" s="333"/>
      <c r="BK135" s="338"/>
      <c r="BL135" s="333"/>
      <c r="BM135" s="333"/>
      <c r="BN135" s="333"/>
      <c r="BO135" s="333"/>
      <c r="BP135" s="333"/>
      <c r="BQ135" s="333"/>
    </row>
    <row r="136" spans="1:69" s="47" customFormat="1" ht="22.5" customHeight="1">
      <c r="A136" s="134"/>
      <c r="B136" s="1530"/>
      <c r="C136" s="1530"/>
      <c r="D136" s="133"/>
      <c r="E136" s="136"/>
      <c r="F136" s="133"/>
      <c r="G136" s="133"/>
      <c r="H136" s="133"/>
      <c r="I136" s="133"/>
      <c r="J136" s="338"/>
      <c r="K136" s="333"/>
      <c r="L136" s="333"/>
      <c r="M136" s="333"/>
      <c r="N136" s="333"/>
      <c r="O136" s="333"/>
      <c r="P136" s="333"/>
      <c r="Q136" s="333"/>
      <c r="R136" s="332"/>
      <c r="S136" s="333"/>
      <c r="T136" s="333"/>
      <c r="U136" s="333"/>
      <c r="V136" s="333"/>
      <c r="W136" s="333"/>
      <c r="X136" s="333"/>
      <c r="Y136" s="333"/>
      <c r="Z136" s="338"/>
      <c r="AA136" s="333"/>
      <c r="AB136" s="333"/>
      <c r="AC136" s="333"/>
      <c r="AD136" s="333"/>
      <c r="AE136" s="333"/>
      <c r="AF136" s="333"/>
      <c r="AG136" s="333"/>
      <c r="AH136" s="333"/>
      <c r="AI136" s="333"/>
      <c r="AJ136" s="333"/>
      <c r="AK136" s="338"/>
      <c r="AL136" s="333"/>
      <c r="AM136" s="333"/>
      <c r="AN136" s="333"/>
      <c r="AO136" s="333"/>
      <c r="AP136" s="333"/>
      <c r="AQ136" s="333"/>
      <c r="AR136" s="333"/>
      <c r="AS136" s="338"/>
      <c r="AT136" s="333"/>
      <c r="AU136" s="333"/>
      <c r="AV136" s="333"/>
      <c r="AW136" s="333"/>
      <c r="AX136" s="333"/>
      <c r="AY136" s="333"/>
      <c r="AZ136" s="333"/>
      <c r="BA136" s="333"/>
      <c r="BB136" s="338"/>
      <c r="BC136" s="333"/>
      <c r="BD136" s="333"/>
      <c r="BE136" s="333"/>
      <c r="BF136" s="333"/>
      <c r="BG136" s="333"/>
      <c r="BH136" s="333"/>
      <c r="BI136" s="333"/>
      <c r="BJ136" s="333"/>
      <c r="BK136" s="338"/>
      <c r="BL136" s="333"/>
      <c r="BM136" s="333"/>
      <c r="BN136" s="333"/>
      <c r="BO136" s="333"/>
      <c r="BP136" s="333"/>
      <c r="BQ136" s="333"/>
    </row>
    <row r="137" spans="1:69" s="47" customFormat="1" ht="22.5" customHeight="1">
      <c r="A137" s="134"/>
      <c r="B137" s="1530"/>
      <c r="C137" s="1530"/>
      <c r="D137" s="133"/>
      <c r="E137" s="136"/>
      <c r="F137" s="133"/>
      <c r="G137" s="133"/>
      <c r="H137" s="133"/>
      <c r="I137" s="133"/>
      <c r="J137" s="338"/>
      <c r="K137" s="333"/>
      <c r="L137" s="333"/>
      <c r="M137" s="333"/>
      <c r="N137" s="333"/>
      <c r="O137" s="333"/>
      <c r="P137" s="333"/>
      <c r="Q137" s="333"/>
      <c r="R137" s="332"/>
      <c r="S137" s="333"/>
      <c r="T137" s="333"/>
      <c r="U137" s="333"/>
      <c r="V137" s="333"/>
      <c r="W137" s="333"/>
      <c r="X137" s="333"/>
      <c r="Y137" s="333"/>
      <c r="Z137" s="338"/>
      <c r="AA137" s="333"/>
      <c r="AB137" s="333"/>
      <c r="AC137" s="333"/>
      <c r="AD137" s="333"/>
      <c r="AE137" s="333"/>
      <c r="AF137" s="333"/>
      <c r="AG137" s="333"/>
      <c r="AH137" s="333"/>
      <c r="AI137" s="333"/>
      <c r="AJ137" s="333"/>
      <c r="AK137" s="338"/>
      <c r="AL137" s="333"/>
      <c r="AM137" s="333"/>
      <c r="AN137" s="333"/>
      <c r="AO137" s="333"/>
      <c r="AP137" s="333"/>
      <c r="AQ137" s="333"/>
      <c r="AR137" s="333"/>
      <c r="AS137" s="338"/>
      <c r="AT137" s="333"/>
      <c r="AU137" s="333"/>
      <c r="AV137" s="333"/>
      <c r="AW137" s="333"/>
      <c r="AX137" s="333"/>
      <c r="AY137" s="333"/>
      <c r="AZ137" s="333"/>
      <c r="BA137" s="333"/>
      <c r="BB137" s="338"/>
      <c r="BC137" s="333"/>
      <c r="BD137" s="333"/>
      <c r="BE137" s="333"/>
      <c r="BF137" s="333"/>
      <c r="BG137" s="333"/>
      <c r="BH137" s="333"/>
      <c r="BI137" s="333"/>
      <c r="BJ137" s="333"/>
      <c r="BK137" s="338"/>
      <c r="BL137" s="333"/>
      <c r="BM137" s="333"/>
      <c r="BN137" s="333"/>
      <c r="BO137" s="333"/>
      <c r="BP137" s="333"/>
      <c r="BQ137" s="333"/>
    </row>
    <row r="138" spans="1:69" s="47" customFormat="1" ht="22.5" customHeight="1">
      <c r="A138" s="134"/>
      <c r="B138" s="1530"/>
      <c r="C138" s="1530"/>
      <c r="D138" s="133"/>
      <c r="E138" s="136"/>
      <c r="F138" s="133"/>
      <c r="G138" s="133"/>
      <c r="H138" s="133"/>
      <c r="I138" s="133"/>
      <c r="J138" s="338"/>
      <c r="K138" s="333"/>
      <c r="L138" s="333"/>
      <c r="M138" s="333"/>
      <c r="N138" s="333"/>
      <c r="O138" s="333"/>
      <c r="P138" s="333"/>
      <c r="Q138" s="333"/>
      <c r="R138" s="332"/>
      <c r="S138" s="333"/>
      <c r="T138" s="333"/>
      <c r="U138" s="333"/>
      <c r="V138" s="333"/>
      <c r="W138" s="333"/>
      <c r="X138" s="333"/>
      <c r="Y138" s="333"/>
      <c r="Z138" s="338"/>
      <c r="AA138" s="333"/>
      <c r="AB138" s="333"/>
      <c r="AC138" s="333"/>
      <c r="AD138" s="333"/>
      <c r="AE138" s="333"/>
      <c r="AF138" s="333"/>
      <c r="AG138" s="333"/>
      <c r="AH138" s="333"/>
      <c r="AI138" s="333"/>
      <c r="AJ138" s="333"/>
      <c r="AK138" s="338"/>
      <c r="AL138" s="333"/>
      <c r="AM138" s="333"/>
      <c r="AN138" s="333"/>
      <c r="AO138" s="333"/>
      <c r="AP138" s="333"/>
      <c r="AQ138" s="333"/>
      <c r="AR138" s="333"/>
      <c r="AS138" s="338"/>
      <c r="AT138" s="333"/>
      <c r="AU138" s="333"/>
      <c r="AV138" s="333"/>
      <c r="AW138" s="333"/>
      <c r="AX138" s="333"/>
      <c r="AY138" s="333"/>
      <c r="AZ138" s="333"/>
      <c r="BA138" s="333"/>
      <c r="BB138" s="338"/>
      <c r="BC138" s="333"/>
      <c r="BD138" s="333"/>
      <c r="BE138" s="333"/>
      <c r="BF138" s="333"/>
      <c r="BG138" s="333"/>
      <c r="BH138" s="333"/>
      <c r="BI138" s="333"/>
      <c r="BJ138" s="333"/>
      <c r="BK138" s="338"/>
      <c r="BL138" s="333"/>
      <c r="BM138" s="333"/>
      <c r="BN138" s="333"/>
      <c r="BO138" s="333"/>
      <c r="BP138" s="333"/>
      <c r="BQ138" s="333"/>
    </row>
    <row r="139" spans="1:69" s="47" customFormat="1" ht="22.5" customHeight="1">
      <c r="A139" s="134"/>
      <c r="B139" s="1530"/>
      <c r="C139" s="1530"/>
      <c r="D139" s="133"/>
      <c r="E139" s="136"/>
      <c r="F139" s="133"/>
      <c r="G139" s="133"/>
      <c r="H139" s="133"/>
      <c r="I139" s="133"/>
      <c r="J139" s="338"/>
      <c r="K139" s="333"/>
      <c r="L139" s="333"/>
      <c r="M139" s="333"/>
      <c r="N139" s="333"/>
      <c r="O139" s="333"/>
      <c r="P139" s="333"/>
      <c r="Q139" s="333"/>
      <c r="R139" s="332"/>
      <c r="S139" s="333"/>
      <c r="T139" s="333"/>
      <c r="U139" s="333"/>
      <c r="V139" s="333"/>
      <c r="W139" s="333"/>
      <c r="X139" s="333"/>
      <c r="Y139" s="333"/>
      <c r="Z139" s="338"/>
      <c r="AA139" s="333"/>
      <c r="AB139" s="333"/>
      <c r="AC139" s="333"/>
      <c r="AD139" s="333"/>
      <c r="AE139" s="333"/>
      <c r="AF139" s="333"/>
      <c r="AG139" s="333"/>
      <c r="AH139" s="333"/>
      <c r="AI139" s="333"/>
      <c r="AJ139" s="333"/>
      <c r="AK139" s="338"/>
      <c r="AL139" s="333"/>
      <c r="AM139" s="333"/>
      <c r="AN139" s="333"/>
      <c r="AO139" s="333"/>
      <c r="AP139" s="333"/>
      <c r="AQ139" s="333"/>
      <c r="AR139" s="333"/>
      <c r="AS139" s="338"/>
      <c r="AT139" s="333"/>
      <c r="AU139" s="333"/>
      <c r="AV139" s="333"/>
      <c r="AW139" s="333"/>
      <c r="AX139" s="333"/>
      <c r="AY139" s="333"/>
      <c r="AZ139" s="333"/>
      <c r="BA139" s="333"/>
      <c r="BB139" s="338"/>
      <c r="BC139" s="333"/>
      <c r="BD139" s="333"/>
      <c r="BE139" s="333"/>
      <c r="BF139" s="333"/>
      <c r="BG139" s="333"/>
      <c r="BH139" s="333"/>
      <c r="BI139" s="333"/>
      <c r="BJ139" s="333"/>
      <c r="BK139" s="338"/>
      <c r="BL139" s="333"/>
      <c r="BM139" s="333"/>
      <c r="BN139" s="333"/>
      <c r="BO139" s="333"/>
      <c r="BP139" s="333"/>
      <c r="BQ139" s="333"/>
    </row>
    <row r="140" spans="1:69" s="47" customFormat="1" ht="22.5" customHeight="1">
      <c r="A140" s="134"/>
      <c r="B140" s="1530"/>
      <c r="C140" s="1530"/>
      <c r="D140" s="133"/>
      <c r="E140" s="136"/>
      <c r="F140" s="133"/>
      <c r="G140" s="133"/>
      <c r="H140" s="133"/>
      <c r="I140" s="133"/>
      <c r="J140" s="338"/>
      <c r="K140" s="333"/>
      <c r="L140" s="333"/>
      <c r="M140" s="333"/>
      <c r="N140" s="333"/>
      <c r="O140" s="333"/>
      <c r="P140" s="333"/>
      <c r="Q140" s="333"/>
      <c r="R140" s="332"/>
      <c r="S140" s="333"/>
      <c r="T140" s="333"/>
      <c r="U140" s="333"/>
      <c r="V140" s="333"/>
      <c r="W140" s="333"/>
      <c r="X140" s="333"/>
      <c r="Y140" s="333"/>
      <c r="Z140" s="338"/>
      <c r="AA140" s="333"/>
      <c r="AB140" s="333"/>
      <c r="AC140" s="333"/>
      <c r="AD140" s="333"/>
      <c r="AE140" s="333"/>
      <c r="AF140" s="333"/>
      <c r="AG140" s="333"/>
      <c r="AH140" s="333"/>
      <c r="AI140" s="333"/>
      <c r="AJ140" s="333"/>
      <c r="AK140" s="338"/>
      <c r="AL140" s="333"/>
      <c r="AM140" s="333"/>
      <c r="AN140" s="333"/>
      <c r="AO140" s="333"/>
      <c r="AP140" s="333"/>
      <c r="AQ140" s="333"/>
      <c r="AR140" s="333"/>
      <c r="AS140" s="338"/>
      <c r="AT140" s="333"/>
      <c r="AU140" s="333"/>
      <c r="AV140" s="333"/>
      <c r="AW140" s="333"/>
      <c r="AX140" s="333"/>
      <c r="AY140" s="333"/>
      <c r="AZ140" s="333"/>
      <c r="BA140" s="343"/>
      <c r="BB140" s="338"/>
      <c r="BC140" s="333"/>
      <c r="BD140" s="333"/>
      <c r="BE140" s="333"/>
      <c r="BF140" s="333"/>
      <c r="BG140" s="333"/>
      <c r="BH140" s="333"/>
      <c r="BI140" s="333"/>
      <c r="BJ140" s="333"/>
      <c r="BK140" s="338"/>
      <c r="BL140" s="333"/>
      <c r="BM140" s="333"/>
      <c r="BN140" s="333"/>
      <c r="BO140" s="333"/>
      <c r="BP140" s="333"/>
      <c r="BQ140" s="333"/>
    </row>
    <row r="141" spans="1:69" s="47" customFormat="1" ht="22.5" customHeight="1">
      <c r="A141" s="134"/>
      <c r="B141" s="1530"/>
      <c r="C141" s="1530"/>
      <c r="D141" s="133"/>
      <c r="E141" s="136"/>
      <c r="F141" s="133"/>
      <c r="G141" s="133"/>
      <c r="H141" s="133"/>
      <c r="I141" s="133"/>
      <c r="J141" s="338"/>
      <c r="K141" s="333"/>
      <c r="L141" s="333"/>
      <c r="M141" s="333"/>
      <c r="N141" s="333"/>
      <c r="O141" s="333"/>
      <c r="P141" s="333"/>
      <c r="Q141" s="333"/>
      <c r="R141" s="332"/>
      <c r="S141" s="333"/>
      <c r="T141" s="333"/>
      <c r="U141" s="333"/>
      <c r="V141" s="333"/>
      <c r="W141" s="333"/>
      <c r="X141" s="333"/>
      <c r="Y141" s="333"/>
      <c r="Z141" s="338"/>
      <c r="AA141" s="333"/>
      <c r="AB141" s="333"/>
      <c r="AC141" s="333"/>
      <c r="AD141" s="333"/>
      <c r="AE141" s="333"/>
      <c r="AF141" s="333"/>
      <c r="AG141" s="333"/>
      <c r="AH141" s="333"/>
      <c r="AI141" s="333"/>
      <c r="AJ141" s="333"/>
      <c r="AK141" s="338"/>
      <c r="AL141" s="333"/>
      <c r="AM141" s="333"/>
      <c r="AN141" s="333"/>
      <c r="AO141" s="333"/>
      <c r="AP141" s="333"/>
      <c r="AQ141" s="333"/>
      <c r="AR141" s="333"/>
      <c r="AS141" s="338"/>
      <c r="AT141" s="333"/>
      <c r="AU141" s="333"/>
      <c r="AV141" s="333"/>
      <c r="AW141" s="333"/>
      <c r="AX141" s="333"/>
      <c r="AY141" s="333"/>
      <c r="AZ141" s="333"/>
      <c r="BA141" s="343"/>
      <c r="BB141" s="344"/>
      <c r="BC141" s="343"/>
      <c r="BD141" s="343"/>
      <c r="BE141" s="343"/>
      <c r="BF141" s="343"/>
      <c r="BG141" s="343"/>
      <c r="BH141" s="343"/>
      <c r="BI141" s="343"/>
      <c r="BJ141" s="333"/>
      <c r="BK141" s="338"/>
      <c r="BL141" s="333"/>
      <c r="BM141" s="333"/>
      <c r="BN141" s="333"/>
      <c r="BO141" s="333"/>
      <c r="BP141" s="333"/>
      <c r="BQ141" s="333"/>
    </row>
    <row r="142" spans="1:69" s="101" customFormat="1" ht="22.5" customHeight="1">
      <c r="A142" s="201"/>
      <c r="B142" s="1530"/>
      <c r="C142" s="197"/>
      <c r="D142" s="199"/>
      <c r="E142" s="200"/>
      <c r="F142" s="199"/>
      <c r="G142" s="199"/>
      <c r="H142" s="133"/>
      <c r="I142" s="199"/>
      <c r="J142" s="344"/>
      <c r="K142" s="343"/>
      <c r="L142" s="343"/>
      <c r="M142" s="343"/>
      <c r="N142" s="343"/>
      <c r="O142" s="343"/>
      <c r="P142" s="343"/>
      <c r="Q142" s="343"/>
      <c r="R142" s="332"/>
      <c r="S142" s="343"/>
      <c r="T142" s="343"/>
      <c r="U142" s="343"/>
      <c r="V142" s="343"/>
      <c r="W142" s="333"/>
      <c r="X142" s="343"/>
      <c r="Y142" s="343"/>
      <c r="Z142" s="344"/>
      <c r="AA142" s="343"/>
      <c r="AB142" s="343"/>
      <c r="AC142" s="343"/>
      <c r="AD142" s="343"/>
      <c r="AE142" s="343"/>
      <c r="AF142" s="343"/>
      <c r="AG142" s="343"/>
      <c r="AH142" s="343"/>
      <c r="AI142" s="343"/>
      <c r="AJ142" s="343"/>
      <c r="AK142" s="344"/>
      <c r="AL142" s="343"/>
      <c r="AM142" s="343"/>
      <c r="AN142" s="343"/>
      <c r="AO142" s="343"/>
      <c r="AP142" s="343"/>
      <c r="AQ142" s="343"/>
      <c r="AR142" s="343"/>
      <c r="AS142" s="344"/>
      <c r="AT142" s="343"/>
      <c r="AU142" s="343"/>
      <c r="AV142" s="343"/>
      <c r="AW142" s="343"/>
      <c r="AX142" s="343"/>
      <c r="AY142" s="343"/>
      <c r="AZ142" s="343"/>
      <c r="BA142" s="343"/>
      <c r="BB142" s="344"/>
      <c r="BC142" s="343"/>
      <c r="BD142" s="343"/>
      <c r="BE142" s="343"/>
      <c r="BF142" s="343"/>
      <c r="BG142" s="343"/>
      <c r="BH142" s="343"/>
      <c r="BI142" s="343"/>
      <c r="BJ142" s="333"/>
      <c r="BK142" s="338"/>
      <c r="BL142" s="333"/>
      <c r="BM142" s="333"/>
      <c r="BN142" s="333"/>
      <c r="BO142" s="333"/>
      <c r="BP142" s="333"/>
      <c r="BQ142" s="333"/>
    </row>
    <row r="143" spans="1:69" s="101" customFormat="1" ht="22.5" customHeight="1">
      <c r="A143" s="201"/>
      <c r="B143" s="1530"/>
      <c r="C143" s="197"/>
      <c r="D143" s="199"/>
      <c r="E143" s="200"/>
      <c r="F143" s="199"/>
      <c r="G143" s="199"/>
      <c r="H143" s="133"/>
      <c r="I143" s="199"/>
      <c r="J143" s="344"/>
      <c r="K143" s="343"/>
      <c r="L143" s="343"/>
      <c r="M143" s="343"/>
      <c r="N143" s="343"/>
      <c r="O143" s="343"/>
      <c r="P143" s="343"/>
      <c r="Q143" s="343"/>
      <c r="R143" s="332"/>
      <c r="S143" s="343"/>
      <c r="T143" s="343"/>
      <c r="U143" s="343"/>
      <c r="V143" s="343"/>
      <c r="W143" s="333"/>
      <c r="X143" s="343"/>
      <c r="Y143" s="343"/>
      <c r="Z143" s="344"/>
      <c r="AA143" s="343"/>
      <c r="AB143" s="343"/>
      <c r="AC143" s="343"/>
      <c r="AD143" s="343"/>
      <c r="AE143" s="343"/>
      <c r="AF143" s="343"/>
      <c r="AG143" s="343"/>
      <c r="AH143" s="343"/>
      <c r="AI143" s="343"/>
      <c r="AJ143" s="343"/>
      <c r="AK143" s="344"/>
      <c r="AL143" s="343"/>
      <c r="AM143" s="343"/>
      <c r="AN143" s="343"/>
      <c r="AO143" s="343"/>
      <c r="AP143" s="343"/>
      <c r="AQ143" s="343"/>
      <c r="AR143" s="343"/>
      <c r="AS143" s="344"/>
      <c r="AT143" s="343"/>
      <c r="AU143" s="343"/>
      <c r="AV143" s="343"/>
      <c r="AW143" s="343"/>
      <c r="AX143" s="343"/>
      <c r="AY143" s="343"/>
      <c r="AZ143" s="343"/>
      <c r="BA143" s="343"/>
      <c r="BB143" s="344"/>
      <c r="BC143" s="343"/>
      <c r="BD143" s="343"/>
      <c r="BE143" s="343"/>
      <c r="BF143" s="343"/>
      <c r="BG143" s="343"/>
      <c r="BH143" s="343"/>
      <c r="BI143" s="343"/>
      <c r="BJ143" s="333"/>
      <c r="BK143" s="338"/>
      <c r="BL143" s="333"/>
      <c r="BM143" s="333"/>
      <c r="BN143" s="333"/>
      <c r="BO143" s="333"/>
      <c r="BP143" s="333"/>
      <c r="BQ143" s="333"/>
    </row>
    <row r="144" spans="1:69" s="101" customFormat="1" ht="22.5" customHeight="1">
      <c r="A144" s="201"/>
      <c r="B144" s="1530"/>
      <c r="C144" s="197"/>
      <c r="D144" s="199"/>
      <c r="E144" s="200"/>
      <c r="F144" s="199"/>
      <c r="G144" s="199"/>
      <c r="H144" s="133"/>
      <c r="I144" s="199"/>
      <c r="J144" s="344"/>
      <c r="K144" s="343"/>
      <c r="L144" s="343"/>
      <c r="M144" s="343"/>
      <c r="N144" s="343"/>
      <c r="O144" s="343"/>
      <c r="P144" s="343"/>
      <c r="Q144" s="343"/>
      <c r="R144" s="332"/>
      <c r="S144" s="343"/>
      <c r="T144" s="343"/>
      <c r="U144" s="343"/>
      <c r="V144" s="343"/>
      <c r="W144" s="333"/>
      <c r="X144" s="343"/>
      <c r="Y144" s="343"/>
      <c r="Z144" s="344"/>
      <c r="AA144" s="343"/>
      <c r="AB144" s="343"/>
      <c r="AC144" s="343"/>
      <c r="AD144" s="343"/>
      <c r="AE144" s="343"/>
      <c r="AF144" s="343"/>
      <c r="AG144" s="343"/>
      <c r="AH144" s="343"/>
      <c r="AI144" s="343"/>
      <c r="AJ144" s="343"/>
      <c r="AK144" s="344"/>
      <c r="AL144" s="343"/>
      <c r="AM144" s="343"/>
      <c r="AN144" s="343"/>
      <c r="AO144" s="343"/>
      <c r="AP144" s="343"/>
      <c r="AQ144" s="343"/>
      <c r="AR144" s="343"/>
      <c r="AS144" s="344"/>
      <c r="AT144" s="343"/>
      <c r="AU144" s="343"/>
      <c r="AV144" s="343"/>
      <c r="AW144" s="343"/>
      <c r="AX144" s="343"/>
      <c r="AY144" s="343"/>
      <c r="AZ144" s="343"/>
      <c r="BA144" s="343"/>
      <c r="BB144" s="344"/>
      <c r="BC144" s="343"/>
      <c r="BD144" s="343"/>
      <c r="BE144" s="343"/>
      <c r="BF144" s="343"/>
      <c r="BG144" s="343"/>
      <c r="BH144" s="343"/>
      <c r="BI144" s="343"/>
      <c r="BJ144" s="333"/>
      <c r="BK144" s="338"/>
      <c r="BL144" s="333"/>
      <c r="BM144" s="333"/>
      <c r="BN144" s="333"/>
      <c r="BO144" s="333"/>
      <c r="BP144" s="333"/>
      <c r="BQ144" s="333"/>
    </row>
    <row r="145" spans="1:69" s="101" customFormat="1" ht="22.5" customHeight="1">
      <c r="A145" s="201"/>
      <c r="B145" s="1530"/>
      <c r="C145" s="197"/>
      <c r="D145" s="199"/>
      <c r="E145" s="200"/>
      <c r="F145" s="199"/>
      <c r="G145" s="199"/>
      <c r="H145" s="133"/>
      <c r="I145" s="199"/>
      <c r="J145" s="344"/>
      <c r="K145" s="343"/>
      <c r="L145" s="343"/>
      <c r="M145" s="343"/>
      <c r="N145" s="343"/>
      <c r="O145" s="343"/>
      <c r="P145" s="343"/>
      <c r="Q145" s="343"/>
      <c r="R145" s="332"/>
      <c r="S145" s="343"/>
      <c r="T145" s="343"/>
      <c r="U145" s="343"/>
      <c r="V145" s="343"/>
      <c r="W145" s="333"/>
      <c r="X145" s="343"/>
      <c r="Y145" s="343"/>
      <c r="Z145" s="344"/>
      <c r="AA145" s="343"/>
      <c r="AB145" s="343"/>
      <c r="AC145" s="343"/>
      <c r="AD145" s="343"/>
      <c r="AE145" s="343"/>
      <c r="AF145" s="343"/>
      <c r="AG145" s="343"/>
      <c r="AH145" s="343"/>
      <c r="AI145" s="343"/>
      <c r="AJ145" s="343"/>
      <c r="AK145" s="344"/>
      <c r="AL145" s="343"/>
      <c r="AM145" s="343"/>
      <c r="AN145" s="343"/>
      <c r="AO145" s="343"/>
      <c r="AP145" s="343"/>
      <c r="AQ145" s="343"/>
      <c r="AR145" s="343"/>
      <c r="AS145" s="344"/>
      <c r="AT145" s="343"/>
      <c r="AU145" s="343"/>
      <c r="AV145" s="343"/>
      <c r="AW145" s="343"/>
      <c r="AX145" s="343"/>
      <c r="AY145" s="343"/>
      <c r="AZ145" s="343"/>
      <c r="BA145" s="343"/>
      <c r="BB145" s="344"/>
      <c r="BC145" s="343"/>
      <c r="BD145" s="343"/>
      <c r="BE145" s="343"/>
      <c r="BF145" s="343"/>
      <c r="BG145" s="343"/>
      <c r="BH145" s="343"/>
      <c r="BI145" s="343"/>
      <c r="BJ145" s="333"/>
      <c r="BK145" s="338"/>
      <c r="BL145" s="333"/>
      <c r="BM145" s="333"/>
      <c r="BN145" s="333"/>
      <c r="BO145" s="333"/>
      <c r="BP145" s="333"/>
      <c r="BQ145" s="333"/>
    </row>
    <row r="146" spans="1:69" s="101" customFormat="1" ht="22.5" customHeight="1">
      <c r="A146" s="201"/>
      <c r="B146" s="1530"/>
      <c r="C146" s="197"/>
      <c r="D146" s="199"/>
      <c r="E146" s="200"/>
      <c r="F146" s="199"/>
      <c r="G146" s="199"/>
      <c r="H146" s="133"/>
      <c r="I146" s="199"/>
      <c r="J146" s="344"/>
      <c r="K146" s="343"/>
      <c r="L146" s="343"/>
      <c r="M146" s="343"/>
      <c r="N146" s="343"/>
      <c r="O146" s="343"/>
      <c r="P146" s="343"/>
      <c r="Q146" s="343"/>
      <c r="R146" s="332"/>
      <c r="S146" s="343"/>
      <c r="T146" s="343"/>
      <c r="U146" s="343"/>
      <c r="V146" s="343"/>
      <c r="W146" s="333"/>
      <c r="X146" s="343"/>
      <c r="Y146" s="343"/>
      <c r="Z146" s="344"/>
      <c r="AA146" s="343"/>
      <c r="AB146" s="343"/>
      <c r="AC146" s="343"/>
      <c r="AD146" s="343"/>
      <c r="AE146" s="343"/>
      <c r="AF146" s="343"/>
      <c r="AG146" s="343"/>
      <c r="AH146" s="343"/>
      <c r="AI146" s="343"/>
      <c r="AJ146" s="343"/>
      <c r="AK146" s="344"/>
      <c r="AL146" s="343"/>
      <c r="AM146" s="343"/>
      <c r="AN146" s="343"/>
      <c r="AO146" s="343"/>
      <c r="AP146" s="343"/>
      <c r="AQ146" s="343"/>
      <c r="AR146" s="343"/>
      <c r="AS146" s="344"/>
      <c r="AT146" s="343"/>
      <c r="AU146" s="343"/>
      <c r="AV146" s="343"/>
      <c r="AW146" s="343"/>
      <c r="AX146" s="343"/>
      <c r="AY146" s="343"/>
      <c r="AZ146" s="343"/>
      <c r="BA146" s="343"/>
      <c r="BB146" s="344"/>
      <c r="BC146" s="343"/>
      <c r="BD146" s="343"/>
      <c r="BE146" s="343"/>
      <c r="BF146" s="343"/>
      <c r="BG146" s="343"/>
      <c r="BH146" s="343"/>
      <c r="BI146" s="343"/>
      <c r="BJ146" s="343"/>
      <c r="BK146" s="344"/>
      <c r="BL146" s="343"/>
      <c r="BM146" s="343"/>
      <c r="BN146" s="343"/>
      <c r="BO146" s="343"/>
      <c r="BP146" s="343"/>
      <c r="BQ146" s="343"/>
    </row>
    <row r="147" spans="1:69" s="101" customFormat="1" ht="22.5" customHeight="1">
      <c r="A147" s="201"/>
      <c r="B147" s="47"/>
      <c r="H147" s="47"/>
      <c r="J147" s="344"/>
      <c r="K147" s="343"/>
      <c r="L147" s="343"/>
      <c r="M147" s="343"/>
      <c r="N147" s="343"/>
      <c r="O147" s="343"/>
      <c r="P147" s="343"/>
      <c r="Q147" s="343"/>
      <c r="R147" s="332"/>
      <c r="S147" s="343"/>
      <c r="T147" s="343"/>
      <c r="U147" s="343"/>
      <c r="V147" s="343"/>
      <c r="W147" s="333"/>
      <c r="X147" s="343"/>
      <c r="Y147" s="343"/>
      <c r="Z147" s="344"/>
      <c r="AA147" s="343"/>
      <c r="AB147" s="343"/>
      <c r="AC147" s="343"/>
      <c r="AD147" s="343"/>
      <c r="AE147" s="343"/>
      <c r="AF147" s="343"/>
      <c r="AG147" s="343"/>
      <c r="AH147" s="343"/>
      <c r="AI147" s="343"/>
      <c r="AJ147" s="343"/>
      <c r="AK147" s="344"/>
      <c r="AL147" s="343"/>
      <c r="AM147" s="343"/>
      <c r="AN147" s="343"/>
      <c r="AO147" s="343"/>
      <c r="AP147" s="343"/>
      <c r="AQ147" s="343"/>
      <c r="AR147" s="343"/>
      <c r="AS147" s="344"/>
      <c r="AT147" s="343"/>
      <c r="AU147" s="343"/>
      <c r="AV147" s="343"/>
      <c r="AW147" s="343"/>
      <c r="AX147" s="343"/>
      <c r="AY147" s="343"/>
      <c r="AZ147" s="343"/>
      <c r="BA147" s="343"/>
      <c r="BB147" s="344"/>
      <c r="BC147" s="343"/>
      <c r="BD147" s="343"/>
      <c r="BE147" s="343"/>
      <c r="BF147" s="343"/>
      <c r="BG147" s="343"/>
      <c r="BH147" s="343"/>
      <c r="BI147" s="343"/>
      <c r="BJ147" s="343"/>
      <c r="BK147" s="344"/>
      <c r="BL147" s="343"/>
      <c r="BM147" s="343"/>
      <c r="BN147" s="343"/>
      <c r="BO147" s="343"/>
      <c r="BP147" s="343"/>
      <c r="BQ147" s="343"/>
    </row>
    <row r="148" spans="1:69" s="101" customFormat="1" ht="22.5" customHeight="1">
      <c r="B148" s="47"/>
      <c r="H148" s="47"/>
      <c r="J148" s="344"/>
      <c r="K148" s="343"/>
      <c r="L148" s="343"/>
      <c r="M148" s="343"/>
      <c r="N148" s="343"/>
      <c r="O148" s="343"/>
      <c r="P148" s="343"/>
      <c r="Q148" s="343"/>
      <c r="R148" s="332"/>
      <c r="S148" s="343"/>
      <c r="T148" s="343"/>
      <c r="U148" s="343"/>
      <c r="V148" s="343"/>
      <c r="W148" s="333"/>
      <c r="X148" s="343"/>
      <c r="Y148" s="343"/>
      <c r="Z148" s="344"/>
      <c r="AA148" s="343"/>
      <c r="AB148" s="343"/>
      <c r="AC148" s="343"/>
      <c r="AD148" s="343"/>
      <c r="AE148" s="343"/>
      <c r="AF148" s="343"/>
      <c r="AG148" s="343"/>
      <c r="AH148" s="343"/>
      <c r="AI148" s="343"/>
      <c r="AJ148" s="343"/>
      <c r="AK148" s="344"/>
      <c r="AL148" s="343"/>
      <c r="AM148" s="343"/>
      <c r="AN148" s="343"/>
      <c r="AO148" s="343"/>
      <c r="AP148" s="343"/>
      <c r="AQ148" s="343"/>
      <c r="AR148" s="343"/>
      <c r="AS148" s="344"/>
      <c r="AT148" s="343"/>
      <c r="AU148" s="343"/>
      <c r="AV148" s="343"/>
      <c r="AW148" s="343"/>
      <c r="AX148" s="343"/>
      <c r="AY148" s="343"/>
      <c r="AZ148" s="343"/>
      <c r="BA148" s="343"/>
      <c r="BB148" s="344"/>
      <c r="BC148" s="343"/>
      <c r="BD148" s="343"/>
      <c r="BE148" s="343"/>
      <c r="BF148" s="343"/>
      <c r="BG148" s="343"/>
      <c r="BH148" s="343"/>
      <c r="BI148" s="343"/>
      <c r="BJ148" s="343"/>
      <c r="BK148" s="344"/>
      <c r="BL148" s="343"/>
      <c r="BM148" s="343"/>
      <c r="BN148" s="343"/>
      <c r="BO148" s="343"/>
      <c r="BP148" s="343"/>
      <c r="BQ148" s="343"/>
    </row>
    <row r="149" spans="1:69" s="101" customFormat="1" ht="22.5" customHeight="1">
      <c r="A149" s="201"/>
      <c r="B149" s="47"/>
      <c r="H149" s="47"/>
      <c r="J149" s="344"/>
      <c r="K149" s="343"/>
      <c r="L149" s="343"/>
      <c r="M149" s="343"/>
      <c r="N149" s="343"/>
      <c r="O149" s="343"/>
      <c r="P149" s="343"/>
      <c r="Q149" s="343"/>
      <c r="R149" s="332"/>
      <c r="S149" s="343"/>
      <c r="T149" s="343"/>
      <c r="U149" s="343"/>
      <c r="V149" s="343"/>
      <c r="W149" s="333"/>
      <c r="X149" s="343"/>
      <c r="Y149" s="343"/>
      <c r="Z149" s="344"/>
      <c r="AA149" s="343"/>
      <c r="AB149" s="343"/>
      <c r="AC149" s="343"/>
      <c r="AD149" s="343"/>
      <c r="AE149" s="343"/>
      <c r="AF149" s="343"/>
      <c r="AG149" s="343"/>
      <c r="AH149" s="343"/>
      <c r="AI149" s="343"/>
      <c r="AJ149" s="343"/>
      <c r="AK149" s="344"/>
      <c r="AL149" s="343"/>
      <c r="AM149" s="343"/>
      <c r="AN149" s="343"/>
      <c r="AO149" s="343"/>
      <c r="AP149" s="343"/>
      <c r="AQ149" s="343"/>
      <c r="AR149" s="343"/>
      <c r="AS149" s="344"/>
      <c r="AT149" s="343"/>
      <c r="AU149" s="343"/>
      <c r="AV149" s="343"/>
      <c r="AW149" s="343"/>
      <c r="AX149" s="343"/>
      <c r="AY149" s="343"/>
      <c r="AZ149" s="343"/>
      <c r="BA149" s="343"/>
      <c r="BB149" s="344"/>
      <c r="BC149" s="343"/>
      <c r="BD149" s="343"/>
      <c r="BE149" s="343"/>
      <c r="BF149" s="343"/>
      <c r="BG149" s="343"/>
      <c r="BH149" s="343"/>
      <c r="BI149" s="343"/>
      <c r="BJ149" s="343"/>
      <c r="BK149" s="344"/>
      <c r="BL149" s="343"/>
      <c r="BM149" s="343"/>
      <c r="BN149" s="343"/>
      <c r="BO149" s="343"/>
      <c r="BP149" s="343"/>
      <c r="BQ149" s="343"/>
    </row>
    <row r="150" spans="1:69" s="101" customFormat="1" ht="22.5" customHeight="1">
      <c r="A150" s="201"/>
      <c r="B150" s="47"/>
      <c r="H150" s="47"/>
      <c r="J150" s="344"/>
      <c r="K150" s="343"/>
      <c r="L150" s="343"/>
      <c r="M150" s="343"/>
      <c r="N150" s="343"/>
      <c r="O150" s="343"/>
      <c r="P150" s="343"/>
      <c r="Q150" s="343"/>
      <c r="R150" s="332"/>
      <c r="S150" s="343"/>
      <c r="T150" s="343"/>
      <c r="U150" s="343"/>
      <c r="V150" s="343"/>
      <c r="W150" s="333"/>
      <c r="X150" s="343"/>
      <c r="Y150" s="343"/>
      <c r="Z150" s="344"/>
      <c r="AA150" s="343"/>
      <c r="AB150" s="343"/>
      <c r="AC150" s="343"/>
      <c r="AD150" s="343"/>
      <c r="AE150" s="343"/>
      <c r="AF150" s="343"/>
      <c r="AG150" s="343"/>
      <c r="AH150" s="343"/>
      <c r="AI150" s="343"/>
      <c r="AJ150" s="343"/>
      <c r="AK150" s="344"/>
      <c r="AL150" s="343"/>
      <c r="AM150" s="343"/>
      <c r="AN150" s="343"/>
      <c r="AO150" s="343"/>
      <c r="AP150" s="343"/>
      <c r="AQ150" s="343"/>
      <c r="AR150" s="343"/>
      <c r="AS150" s="344"/>
      <c r="AT150" s="343"/>
      <c r="AU150" s="343"/>
      <c r="AV150" s="343"/>
      <c r="AW150" s="343"/>
      <c r="AX150" s="343"/>
      <c r="AY150" s="343"/>
      <c r="AZ150" s="343"/>
      <c r="BA150" s="343"/>
      <c r="BB150" s="344"/>
      <c r="BC150" s="343"/>
      <c r="BD150" s="343"/>
      <c r="BE150" s="343"/>
      <c r="BF150" s="343"/>
      <c r="BG150" s="343"/>
      <c r="BH150" s="343"/>
      <c r="BI150" s="343"/>
      <c r="BJ150" s="343"/>
      <c r="BK150" s="344"/>
      <c r="BL150" s="343"/>
      <c r="BM150" s="343"/>
      <c r="BN150" s="343"/>
      <c r="BO150" s="343"/>
      <c r="BP150" s="343"/>
      <c r="BQ150" s="343"/>
    </row>
    <row r="151" spans="1:69" s="101" customFormat="1" ht="22.5" customHeight="1">
      <c r="A151" s="202"/>
      <c r="B151" s="47"/>
      <c r="H151" s="47"/>
      <c r="J151" s="344"/>
      <c r="K151" s="343"/>
      <c r="L151" s="343"/>
      <c r="M151" s="343"/>
      <c r="N151" s="343"/>
      <c r="O151" s="343"/>
      <c r="P151" s="343"/>
      <c r="Q151" s="343"/>
      <c r="R151" s="332"/>
      <c r="S151" s="343"/>
      <c r="T151" s="343"/>
      <c r="U151" s="343"/>
      <c r="V151" s="343"/>
      <c r="W151" s="333"/>
      <c r="X151" s="343"/>
      <c r="Y151" s="343"/>
      <c r="Z151" s="344"/>
      <c r="AA151" s="343"/>
      <c r="AB151" s="343"/>
      <c r="AC151" s="343"/>
      <c r="AD151" s="343"/>
      <c r="AE151" s="343"/>
      <c r="AF151" s="343"/>
      <c r="AG151" s="343"/>
      <c r="AH151" s="343"/>
      <c r="AI151" s="343"/>
      <c r="AJ151" s="343"/>
      <c r="AK151" s="344"/>
      <c r="AL151" s="343"/>
      <c r="AM151" s="343"/>
      <c r="AN151" s="343"/>
      <c r="AO151" s="343"/>
      <c r="AP151" s="343"/>
      <c r="AQ151" s="343"/>
      <c r="AR151" s="343"/>
      <c r="AS151" s="344"/>
      <c r="AT151" s="343"/>
      <c r="AU151" s="343"/>
      <c r="AV151" s="343"/>
      <c r="AW151" s="343"/>
      <c r="AX151" s="343"/>
      <c r="AY151" s="343"/>
      <c r="AZ151" s="343"/>
      <c r="BA151" s="345"/>
      <c r="BB151" s="344"/>
      <c r="BC151" s="343"/>
      <c r="BD151" s="343"/>
      <c r="BE151" s="343"/>
      <c r="BF151" s="343"/>
      <c r="BG151" s="343"/>
      <c r="BH151" s="343"/>
      <c r="BI151" s="343"/>
      <c r="BJ151" s="343"/>
      <c r="BK151" s="344"/>
      <c r="BL151" s="343"/>
      <c r="BM151" s="343"/>
      <c r="BN151" s="343"/>
      <c r="BO151" s="343"/>
      <c r="BP151" s="343"/>
      <c r="BQ151" s="343"/>
    </row>
    <row r="152" spans="1:69" s="101" customFormat="1" ht="22.5" customHeight="1">
      <c r="A152" s="202"/>
      <c r="B152" s="47"/>
      <c r="H152" s="47"/>
      <c r="J152" s="344"/>
      <c r="K152" s="343"/>
      <c r="L152" s="343"/>
      <c r="M152" s="343"/>
      <c r="N152" s="343"/>
      <c r="O152" s="343"/>
      <c r="P152" s="343"/>
      <c r="Q152" s="343"/>
      <c r="R152" s="332"/>
      <c r="S152" s="343"/>
      <c r="T152" s="343"/>
      <c r="U152" s="343"/>
      <c r="V152" s="343"/>
      <c r="W152" s="333"/>
      <c r="X152" s="343"/>
      <c r="Y152" s="343"/>
      <c r="Z152" s="344"/>
      <c r="AA152" s="343"/>
      <c r="AB152" s="343"/>
      <c r="AC152" s="343"/>
      <c r="AD152" s="343"/>
      <c r="AE152" s="343"/>
      <c r="AF152" s="343"/>
      <c r="AG152" s="343"/>
      <c r="AH152" s="343"/>
      <c r="AI152" s="343"/>
      <c r="AJ152" s="343"/>
      <c r="AK152" s="344"/>
      <c r="AL152" s="343"/>
      <c r="AM152" s="343"/>
      <c r="AN152" s="343"/>
      <c r="AO152" s="343"/>
      <c r="AP152" s="343"/>
      <c r="AQ152" s="343"/>
      <c r="AR152" s="343"/>
      <c r="AS152" s="344"/>
      <c r="AT152" s="343"/>
      <c r="AU152" s="343"/>
      <c r="AV152" s="343"/>
      <c r="AW152" s="343"/>
      <c r="AX152" s="343"/>
      <c r="AY152" s="343"/>
      <c r="AZ152" s="343"/>
      <c r="BA152" s="343"/>
      <c r="BB152" s="346"/>
      <c r="BC152" s="345"/>
      <c r="BD152" s="345"/>
      <c r="BE152" s="345"/>
      <c r="BF152" s="345"/>
      <c r="BG152" s="345"/>
      <c r="BH152" s="345"/>
      <c r="BI152" s="345"/>
      <c r="BJ152" s="343"/>
      <c r="BK152" s="344"/>
      <c r="BL152" s="343"/>
      <c r="BM152" s="343"/>
      <c r="BN152" s="343"/>
      <c r="BO152" s="343"/>
      <c r="BP152" s="343"/>
      <c r="BQ152" s="343"/>
    </row>
    <row r="153" spans="1:69" s="202" customFormat="1" ht="22.5" customHeight="1">
      <c r="B153" s="53"/>
      <c r="H153" s="53"/>
      <c r="J153" s="346"/>
      <c r="K153" s="345"/>
      <c r="L153" s="345"/>
      <c r="M153" s="345"/>
      <c r="N153" s="345"/>
      <c r="O153" s="345"/>
      <c r="P153" s="345"/>
      <c r="Q153" s="345"/>
      <c r="R153" s="331"/>
      <c r="S153" s="345"/>
      <c r="T153" s="345"/>
      <c r="U153" s="345"/>
      <c r="V153" s="345"/>
      <c r="W153" s="347"/>
      <c r="X153" s="345"/>
      <c r="Y153" s="345"/>
      <c r="Z153" s="346"/>
      <c r="AA153" s="345"/>
      <c r="AB153" s="345"/>
      <c r="AC153" s="345"/>
      <c r="AD153" s="345"/>
      <c r="AE153" s="345"/>
      <c r="AF153" s="345"/>
      <c r="AG153" s="345"/>
      <c r="AH153" s="345"/>
      <c r="AI153" s="345"/>
      <c r="AJ153" s="345"/>
      <c r="AK153" s="346"/>
      <c r="AL153" s="345"/>
      <c r="AM153" s="345"/>
      <c r="AN153" s="345"/>
      <c r="AO153" s="345"/>
      <c r="AP153" s="345"/>
      <c r="AQ153" s="345"/>
      <c r="AR153" s="345"/>
      <c r="AS153" s="346"/>
      <c r="AT153" s="345"/>
      <c r="AU153" s="345"/>
      <c r="AV153" s="345"/>
      <c r="AW153" s="345"/>
      <c r="AX153" s="345"/>
      <c r="AY153" s="345"/>
      <c r="AZ153" s="345"/>
      <c r="BA153" s="345"/>
      <c r="BB153" s="344"/>
      <c r="BC153" s="343"/>
      <c r="BD153" s="343"/>
      <c r="BE153" s="343"/>
      <c r="BF153" s="343"/>
      <c r="BG153" s="343"/>
      <c r="BH153" s="343"/>
      <c r="BI153" s="343"/>
      <c r="BJ153" s="343"/>
      <c r="BK153" s="344"/>
      <c r="BL153" s="343"/>
      <c r="BM153" s="343"/>
      <c r="BN153" s="343"/>
      <c r="BO153" s="343"/>
      <c r="BP153" s="343"/>
      <c r="BQ153" s="343"/>
    </row>
    <row r="154" spans="1:69" s="101" customFormat="1" ht="22.5" customHeight="1">
      <c r="B154" s="47"/>
      <c r="H154" s="47"/>
      <c r="J154" s="344"/>
      <c r="K154" s="343"/>
      <c r="L154" s="343"/>
      <c r="M154" s="343"/>
      <c r="N154" s="343"/>
      <c r="O154" s="343"/>
      <c r="P154" s="343"/>
      <c r="Q154" s="343"/>
      <c r="R154" s="332"/>
      <c r="S154" s="343"/>
      <c r="T154" s="343"/>
      <c r="U154" s="343"/>
      <c r="V154" s="343"/>
      <c r="W154" s="333"/>
      <c r="X154" s="343"/>
      <c r="Y154" s="343"/>
      <c r="Z154" s="344"/>
      <c r="AA154" s="343"/>
      <c r="AB154" s="343"/>
      <c r="AC154" s="343"/>
      <c r="AD154" s="343"/>
      <c r="AE154" s="343"/>
      <c r="AF154" s="343"/>
      <c r="AG154" s="343"/>
      <c r="AH154" s="343"/>
      <c r="AI154" s="343"/>
      <c r="AJ154" s="343"/>
      <c r="AK154" s="344"/>
      <c r="AL154" s="343"/>
      <c r="AM154" s="343"/>
      <c r="AN154" s="343"/>
      <c r="AO154" s="343"/>
      <c r="AP154" s="343"/>
      <c r="AQ154" s="343"/>
      <c r="AR154" s="343"/>
      <c r="AS154" s="344"/>
      <c r="AT154" s="343"/>
      <c r="AU154" s="343"/>
      <c r="AV154" s="343"/>
      <c r="AW154" s="343"/>
      <c r="AX154" s="343"/>
      <c r="AY154" s="343"/>
      <c r="AZ154" s="343"/>
      <c r="BA154" s="343"/>
      <c r="BB154" s="346"/>
      <c r="BC154" s="345"/>
      <c r="BD154" s="345"/>
      <c r="BE154" s="345"/>
      <c r="BF154" s="345"/>
      <c r="BG154" s="345"/>
      <c r="BH154" s="345"/>
      <c r="BI154" s="345"/>
      <c r="BJ154" s="343"/>
      <c r="BK154" s="344"/>
      <c r="BL154" s="343"/>
      <c r="BM154" s="343"/>
      <c r="BN154" s="343"/>
      <c r="BO154" s="343"/>
      <c r="BP154" s="343"/>
      <c r="BQ154" s="343"/>
    </row>
    <row r="155" spans="1:69" s="202" customFormat="1" ht="22.5" customHeight="1">
      <c r="B155" s="53"/>
      <c r="H155" s="53"/>
      <c r="J155" s="346"/>
      <c r="K155" s="345"/>
      <c r="L155" s="345"/>
      <c r="M155" s="345"/>
      <c r="N155" s="345"/>
      <c r="O155" s="345"/>
      <c r="P155" s="345"/>
      <c r="Q155" s="345"/>
      <c r="R155" s="331"/>
      <c r="S155" s="345"/>
      <c r="T155" s="345"/>
      <c r="U155" s="345"/>
      <c r="V155" s="345"/>
      <c r="W155" s="347"/>
      <c r="X155" s="345"/>
      <c r="Y155" s="345"/>
      <c r="Z155" s="346"/>
      <c r="AA155" s="345"/>
      <c r="AB155" s="345"/>
      <c r="AC155" s="345"/>
      <c r="AD155" s="345"/>
      <c r="AE155" s="345"/>
      <c r="AF155" s="345"/>
      <c r="AG155" s="345"/>
      <c r="AH155" s="345"/>
      <c r="AI155" s="345"/>
      <c r="AJ155" s="345"/>
      <c r="AK155" s="346"/>
      <c r="AL155" s="345"/>
      <c r="AM155" s="345"/>
      <c r="AN155" s="345"/>
      <c r="AO155" s="345"/>
      <c r="AP155" s="345"/>
      <c r="AQ155" s="345"/>
      <c r="AR155" s="345"/>
      <c r="AS155" s="346"/>
      <c r="AT155" s="345"/>
      <c r="AU155" s="345"/>
      <c r="AV155" s="345"/>
      <c r="AW155" s="345"/>
      <c r="AX155" s="345"/>
      <c r="AY155" s="345"/>
      <c r="AZ155" s="345"/>
      <c r="BA155" s="343"/>
      <c r="BB155" s="344"/>
      <c r="BC155" s="343"/>
      <c r="BD155" s="343"/>
      <c r="BE155" s="343"/>
      <c r="BF155" s="343"/>
      <c r="BG155" s="343"/>
      <c r="BH155" s="343"/>
      <c r="BI155" s="343"/>
      <c r="BJ155" s="343"/>
      <c r="BK155" s="344"/>
      <c r="BL155" s="343"/>
      <c r="BM155" s="343"/>
      <c r="BN155" s="343"/>
      <c r="BO155" s="343"/>
      <c r="BP155" s="343"/>
      <c r="BQ155" s="343"/>
    </row>
    <row r="156" spans="1:69" s="101" customFormat="1" ht="22.5" customHeight="1">
      <c r="B156" s="47"/>
      <c r="H156" s="47"/>
      <c r="J156" s="344"/>
      <c r="K156" s="343"/>
      <c r="L156" s="343"/>
      <c r="M156" s="343"/>
      <c r="N156" s="343"/>
      <c r="O156" s="343"/>
      <c r="P156" s="343"/>
      <c r="Q156" s="343"/>
      <c r="R156" s="332"/>
      <c r="S156" s="343"/>
      <c r="T156" s="343"/>
      <c r="U156" s="343"/>
      <c r="V156" s="343"/>
      <c r="W156" s="333"/>
      <c r="X156" s="343"/>
      <c r="Y156" s="343"/>
      <c r="Z156" s="344"/>
      <c r="AA156" s="343"/>
      <c r="AB156" s="343"/>
      <c r="AC156" s="343"/>
      <c r="AD156" s="343"/>
      <c r="AE156" s="343"/>
      <c r="AF156" s="343"/>
      <c r="AG156" s="343"/>
      <c r="AH156" s="343"/>
      <c r="AI156" s="343"/>
      <c r="AJ156" s="343"/>
      <c r="AK156" s="344"/>
      <c r="AL156" s="343"/>
      <c r="AM156" s="343"/>
      <c r="AN156" s="343"/>
      <c r="AO156" s="343"/>
      <c r="AP156" s="343"/>
      <c r="AQ156" s="343"/>
      <c r="AR156" s="343"/>
      <c r="AS156" s="344"/>
      <c r="AT156" s="343"/>
      <c r="AU156" s="343"/>
      <c r="AV156" s="343"/>
      <c r="AW156" s="343"/>
      <c r="AX156" s="343"/>
      <c r="AY156" s="343"/>
      <c r="AZ156" s="343"/>
      <c r="BA156" s="343"/>
      <c r="BB156" s="344"/>
      <c r="BC156" s="343"/>
      <c r="BD156" s="343"/>
      <c r="BE156" s="343"/>
      <c r="BF156" s="343"/>
      <c r="BG156" s="343"/>
      <c r="BH156" s="343"/>
      <c r="BI156" s="343"/>
      <c r="BJ156" s="343"/>
      <c r="BK156" s="344"/>
      <c r="BL156" s="343"/>
      <c r="BM156" s="343"/>
      <c r="BN156" s="343"/>
      <c r="BO156" s="343"/>
      <c r="BP156" s="343"/>
      <c r="BQ156" s="343"/>
    </row>
    <row r="157" spans="1:69" s="101" customFormat="1" ht="22.5" customHeight="1">
      <c r="B157" s="47"/>
      <c r="D157" s="46"/>
      <c r="E157" s="46"/>
      <c r="H157" s="47"/>
      <c r="J157" s="344"/>
      <c r="K157" s="343"/>
      <c r="L157" s="343"/>
      <c r="M157" s="343"/>
      <c r="N157" s="343"/>
      <c r="O157" s="343"/>
      <c r="P157" s="343"/>
      <c r="Q157" s="343"/>
      <c r="R157" s="332"/>
      <c r="S157" s="343"/>
      <c r="T157" s="343"/>
      <c r="U157" s="343"/>
      <c r="V157" s="343"/>
      <c r="W157" s="333"/>
      <c r="X157" s="343"/>
      <c r="Y157" s="343"/>
      <c r="Z157" s="344"/>
      <c r="AA157" s="343"/>
      <c r="AB157" s="343"/>
      <c r="AC157" s="343"/>
      <c r="AD157" s="343"/>
      <c r="AE157" s="343"/>
      <c r="AF157" s="343"/>
      <c r="AG157" s="343"/>
      <c r="AH157" s="343"/>
      <c r="AI157" s="343"/>
      <c r="AJ157" s="343"/>
      <c r="AK157" s="344"/>
      <c r="AL157" s="343"/>
      <c r="AM157" s="343"/>
      <c r="AN157" s="343"/>
      <c r="AO157" s="343"/>
      <c r="AP157" s="343"/>
      <c r="AQ157" s="343"/>
      <c r="AR157" s="343"/>
      <c r="AS157" s="344"/>
      <c r="AT157" s="343"/>
      <c r="AU157" s="343"/>
      <c r="AV157" s="343"/>
      <c r="AW157" s="343"/>
      <c r="AX157" s="343"/>
      <c r="AY157" s="343"/>
      <c r="AZ157" s="343"/>
      <c r="BA157" s="343"/>
      <c r="BB157" s="344"/>
      <c r="BC157" s="343"/>
      <c r="BD157" s="343"/>
      <c r="BE157" s="343"/>
      <c r="BF157" s="343"/>
      <c r="BG157" s="343"/>
      <c r="BH157" s="343"/>
      <c r="BI157" s="343"/>
      <c r="BJ157" s="345"/>
      <c r="BK157" s="346"/>
      <c r="BL157" s="345"/>
      <c r="BM157" s="345"/>
      <c r="BN157" s="345"/>
      <c r="BO157" s="345"/>
      <c r="BP157" s="345"/>
      <c r="BQ157" s="345"/>
    </row>
    <row r="158" spans="1:69" s="101" customFormat="1" ht="22.5" customHeight="1">
      <c r="A158" s="202"/>
      <c r="B158" s="47"/>
      <c r="H158" s="47"/>
      <c r="J158" s="344"/>
      <c r="K158" s="343"/>
      <c r="L158" s="343"/>
      <c r="M158" s="343"/>
      <c r="N158" s="343"/>
      <c r="O158" s="343"/>
      <c r="P158" s="343"/>
      <c r="Q158" s="343"/>
      <c r="R158" s="332"/>
      <c r="S158" s="343"/>
      <c r="T158" s="343"/>
      <c r="U158" s="343"/>
      <c r="V158" s="343"/>
      <c r="W158" s="333"/>
      <c r="X158" s="343"/>
      <c r="Y158" s="343"/>
      <c r="Z158" s="344"/>
      <c r="AA158" s="343"/>
      <c r="AB158" s="343"/>
      <c r="AC158" s="343"/>
      <c r="AD158" s="343"/>
      <c r="AE158" s="343"/>
      <c r="AF158" s="343"/>
      <c r="AG158" s="343"/>
      <c r="AH158" s="343"/>
      <c r="AI158" s="343"/>
      <c r="AJ158" s="343"/>
      <c r="AK158" s="344"/>
      <c r="AL158" s="343"/>
      <c r="AM158" s="343"/>
      <c r="AN158" s="343"/>
      <c r="AO158" s="343"/>
      <c r="AP158" s="343"/>
      <c r="AQ158" s="343"/>
      <c r="AR158" s="343"/>
      <c r="AS158" s="344"/>
      <c r="AT158" s="343"/>
      <c r="AU158" s="343"/>
      <c r="AV158" s="343"/>
      <c r="AW158" s="343"/>
      <c r="AX158" s="343"/>
      <c r="AY158" s="343"/>
      <c r="AZ158" s="343"/>
      <c r="BA158" s="213"/>
      <c r="BB158" s="344"/>
      <c r="BC158" s="343"/>
      <c r="BD158" s="343"/>
      <c r="BE158" s="343"/>
      <c r="BF158" s="343"/>
      <c r="BG158" s="343"/>
      <c r="BH158" s="343"/>
      <c r="BI158" s="343"/>
      <c r="BJ158" s="343"/>
      <c r="BK158" s="344"/>
      <c r="BL158" s="343"/>
      <c r="BM158" s="343"/>
      <c r="BN158" s="343"/>
      <c r="BO158" s="343"/>
      <c r="BP158" s="343"/>
      <c r="BQ158" s="343"/>
    </row>
    <row r="159" spans="1:69" s="101" customFormat="1" ht="22.5" customHeight="1">
      <c r="B159" s="47"/>
      <c r="H159" s="47"/>
      <c r="J159" s="344"/>
      <c r="K159" s="343"/>
      <c r="L159" s="343"/>
      <c r="M159" s="343"/>
      <c r="N159" s="343"/>
      <c r="O159" s="343"/>
      <c r="P159" s="343"/>
      <c r="Q159" s="343"/>
      <c r="R159" s="332"/>
      <c r="S159" s="343"/>
      <c r="T159" s="343"/>
      <c r="U159" s="343"/>
      <c r="V159" s="343"/>
      <c r="W159" s="333"/>
      <c r="X159" s="343"/>
      <c r="Y159" s="343"/>
      <c r="Z159" s="344"/>
      <c r="AA159" s="343"/>
      <c r="AB159" s="343"/>
      <c r="AC159" s="343"/>
      <c r="AD159" s="343"/>
      <c r="AE159" s="343"/>
      <c r="AF159" s="343"/>
      <c r="AG159" s="343"/>
      <c r="AH159" s="343"/>
      <c r="AI159" s="343"/>
      <c r="AJ159" s="343"/>
      <c r="AK159" s="344"/>
      <c r="AL159" s="343"/>
      <c r="AM159" s="343"/>
      <c r="AN159" s="343"/>
      <c r="AO159" s="343"/>
      <c r="AP159" s="343"/>
      <c r="AQ159" s="343"/>
      <c r="AR159" s="343"/>
      <c r="AS159" s="344"/>
      <c r="AT159" s="343"/>
      <c r="AU159" s="343"/>
      <c r="AV159" s="343"/>
      <c r="AW159" s="343"/>
      <c r="AX159" s="343"/>
      <c r="AY159" s="343"/>
      <c r="AZ159" s="343"/>
      <c r="BA159" s="213"/>
      <c r="BB159" s="334"/>
      <c r="BC159" s="213"/>
      <c r="BD159" s="213"/>
      <c r="BE159" s="213"/>
      <c r="BF159" s="213"/>
      <c r="BG159" s="213"/>
      <c r="BH159" s="213"/>
      <c r="BI159" s="213"/>
      <c r="BJ159" s="345"/>
      <c r="BK159" s="346"/>
      <c r="BL159" s="345"/>
      <c r="BM159" s="345"/>
      <c r="BN159" s="345"/>
      <c r="BO159" s="345"/>
      <c r="BP159" s="345"/>
      <c r="BQ159" s="345"/>
    </row>
    <row r="160" spans="1:69" ht="22.5" customHeight="1">
      <c r="BJ160" s="343"/>
      <c r="BK160" s="344"/>
      <c r="BL160" s="343"/>
      <c r="BM160" s="343"/>
      <c r="BN160" s="343"/>
      <c r="BO160" s="343"/>
      <c r="BP160" s="343"/>
      <c r="BQ160" s="343"/>
    </row>
    <row r="161" spans="2:69" ht="22.5" customHeight="1">
      <c r="BJ161" s="343"/>
      <c r="BK161" s="344"/>
      <c r="BL161" s="343"/>
      <c r="BM161" s="343"/>
      <c r="BN161" s="343"/>
      <c r="BO161" s="343"/>
      <c r="BP161" s="343"/>
      <c r="BQ161" s="343"/>
    </row>
    <row r="162" spans="2:69" ht="22.5" customHeight="1">
      <c r="BA162" s="285"/>
      <c r="BJ162" s="343"/>
      <c r="BK162" s="344"/>
      <c r="BL162" s="343"/>
      <c r="BM162" s="343"/>
      <c r="BN162" s="343"/>
      <c r="BO162" s="343"/>
      <c r="BP162" s="343"/>
      <c r="BQ162" s="343"/>
    </row>
    <row r="163" spans="2:69" ht="22.5" customHeight="1">
      <c r="Q163" s="314"/>
      <c r="R163" s="348"/>
      <c r="S163" s="1541"/>
      <c r="BA163" s="285"/>
      <c r="BB163" s="332"/>
      <c r="BC163" s="285"/>
      <c r="BD163" s="285"/>
      <c r="BE163" s="285"/>
      <c r="BF163" s="285"/>
      <c r="BG163" s="285"/>
      <c r="BH163" s="285"/>
      <c r="BI163" s="285"/>
      <c r="BJ163" s="343"/>
      <c r="BK163" s="344"/>
      <c r="BL163" s="343"/>
      <c r="BM163" s="343"/>
      <c r="BN163" s="343"/>
      <c r="BO163" s="343"/>
      <c r="BP163" s="343"/>
      <c r="BQ163" s="343"/>
    </row>
    <row r="164" spans="2:69" s="40" customFormat="1" ht="22.5" customHeight="1">
      <c r="B164" s="47"/>
      <c r="H164" s="47"/>
      <c r="J164" s="332"/>
      <c r="K164" s="285"/>
      <c r="L164" s="285"/>
      <c r="M164" s="285"/>
      <c r="N164" s="285"/>
      <c r="O164" s="285"/>
      <c r="P164" s="285"/>
      <c r="Q164" s="328"/>
      <c r="R164" s="332"/>
      <c r="S164" s="285"/>
      <c r="T164" s="285"/>
      <c r="U164" s="285"/>
      <c r="V164" s="285"/>
      <c r="W164" s="333"/>
      <c r="X164" s="285"/>
      <c r="Y164" s="285"/>
      <c r="Z164" s="332"/>
      <c r="AA164" s="285"/>
      <c r="AB164" s="285"/>
      <c r="AC164" s="285"/>
      <c r="AD164" s="285"/>
      <c r="AE164" s="285"/>
      <c r="AF164" s="285"/>
      <c r="AG164" s="285"/>
      <c r="AH164" s="285"/>
      <c r="AI164" s="285"/>
      <c r="AJ164" s="285"/>
      <c r="AK164" s="332"/>
      <c r="AL164" s="285"/>
      <c r="AM164" s="285"/>
      <c r="AN164" s="285"/>
      <c r="AO164" s="285"/>
      <c r="AP164" s="285"/>
      <c r="AQ164" s="285"/>
      <c r="AR164" s="285"/>
      <c r="AS164" s="332"/>
      <c r="AT164" s="285"/>
      <c r="AU164" s="285"/>
      <c r="AV164" s="285"/>
      <c r="AW164" s="285"/>
      <c r="AX164" s="285"/>
      <c r="AY164" s="285"/>
      <c r="AZ164" s="285"/>
      <c r="BA164" s="285"/>
      <c r="BB164" s="332"/>
      <c r="BC164" s="285"/>
      <c r="BD164" s="285"/>
      <c r="BE164" s="285"/>
      <c r="BF164" s="285"/>
      <c r="BG164" s="285"/>
      <c r="BH164" s="285"/>
      <c r="BI164" s="285"/>
      <c r="BJ164" s="213"/>
      <c r="BK164" s="334"/>
      <c r="BL164" s="213"/>
      <c r="BM164" s="213"/>
      <c r="BN164" s="213"/>
      <c r="BO164" s="213"/>
      <c r="BP164" s="213"/>
      <c r="BQ164" s="213"/>
    </row>
    <row r="165" spans="2:69" s="40" customFormat="1" ht="22.5" customHeight="1">
      <c r="B165" s="47"/>
      <c r="H165" s="47"/>
      <c r="J165" s="332"/>
      <c r="K165" s="285"/>
      <c r="L165" s="285"/>
      <c r="M165" s="285"/>
      <c r="N165" s="285"/>
      <c r="O165" s="285"/>
      <c r="P165" s="285"/>
      <c r="Q165" s="328"/>
      <c r="R165" s="348"/>
      <c r="S165" s="321"/>
      <c r="T165" s="349"/>
      <c r="U165" s="350"/>
      <c r="V165" s="349"/>
      <c r="W165" s="315"/>
      <c r="X165" s="349"/>
      <c r="Y165" s="224"/>
      <c r="Z165" s="331"/>
      <c r="AA165" s="224"/>
      <c r="AB165" s="285"/>
      <c r="AC165" s="285"/>
      <c r="AD165" s="285"/>
      <c r="AE165" s="285"/>
      <c r="AF165" s="285"/>
      <c r="AG165" s="285"/>
      <c r="AH165" s="285"/>
      <c r="AI165" s="285"/>
      <c r="AJ165" s="285"/>
      <c r="AK165" s="332"/>
      <c r="AL165" s="285"/>
      <c r="AM165" s="285"/>
      <c r="AN165" s="285"/>
      <c r="AO165" s="285"/>
      <c r="AP165" s="285"/>
      <c r="AQ165" s="285"/>
      <c r="AR165" s="285"/>
      <c r="AS165" s="332"/>
      <c r="AT165" s="285"/>
      <c r="AU165" s="285"/>
      <c r="AV165" s="285"/>
      <c r="AW165" s="285"/>
      <c r="AX165" s="285"/>
      <c r="AY165" s="285"/>
      <c r="AZ165" s="285"/>
      <c r="BA165" s="285"/>
      <c r="BB165" s="332"/>
      <c r="BC165" s="285"/>
      <c r="BD165" s="285"/>
      <c r="BE165" s="285"/>
      <c r="BF165" s="285"/>
      <c r="BG165" s="285"/>
      <c r="BH165" s="285"/>
      <c r="BI165" s="285"/>
      <c r="BJ165" s="213"/>
      <c r="BK165" s="334"/>
      <c r="BL165" s="213"/>
      <c r="BM165" s="213"/>
      <c r="BN165" s="213"/>
      <c r="BO165" s="213"/>
      <c r="BP165" s="213"/>
      <c r="BQ165" s="213"/>
    </row>
    <row r="166" spans="2:69" s="40" customFormat="1" ht="22.5" customHeight="1">
      <c r="B166" s="47"/>
      <c r="H166" s="47"/>
      <c r="J166" s="332"/>
      <c r="K166" s="285"/>
      <c r="L166" s="285"/>
      <c r="M166" s="285"/>
      <c r="N166" s="285"/>
      <c r="O166" s="285"/>
      <c r="P166" s="285"/>
      <c r="Q166" s="328"/>
      <c r="R166" s="351"/>
      <c r="S166" s="321"/>
      <c r="T166" s="224"/>
      <c r="U166" s="224"/>
      <c r="V166" s="224"/>
      <c r="W166" s="347"/>
      <c r="X166" s="224"/>
      <c r="Y166" s="224"/>
      <c r="Z166" s="331"/>
      <c r="AA166" s="224"/>
      <c r="AB166" s="285"/>
      <c r="AC166" s="285"/>
      <c r="AD166" s="285"/>
      <c r="AE166" s="285"/>
      <c r="AF166" s="285"/>
      <c r="AG166" s="285"/>
      <c r="AH166" s="285"/>
      <c r="AI166" s="285"/>
      <c r="AJ166" s="285"/>
      <c r="AK166" s="332"/>
      <c r="AL166" s="285"/>
      <c r="AM166" s="285"/>
      <c r="AN166" s="285"/>
      <c r="AO166" s="285"/>
      <c r="AP166" s="285"/>
      <c r="AQ166" s="285"/>
      <c r="AR166" s="285"/>
      <c r="AS166" s="332"/>
      <c r="AT166" s="285"/>
      <c r="AU166" s="285"/>
      <c r="AV166" s="285"/>
      <c r="AW166" s="285"/>
      <c r="AX166" s="285"/>
      <c r="AY166" s="285"/>
      <c r="AZ166" s="285"/>
      <c r="BA166" s="285"/>
      <c r="BB166" s="332"/>
      <c r="BC166" s="285"/>
      <c r="BD166" s="285"/>
      <c r="BE166" s="285"/>
      <c r="BF166" s="285"/>
      <c r="BG166" s="285"/>
      <c r="BH166" s="285"/>
      <c r="BI166" s="285"/>
      <c r="BJ166" s="213"/>
      <c r="BK166" s="334"/>
      <c r="BL166" s="213"/>
      <c r="BM166" s="213"/>
      <c r="BN166" s="213"/>
      <c r="BO166" s="213"/>
      <c r="BP166" s="213"/>
      <c r="BQ166" s="213"/>
    </row>
    <row r="167" spans="2:69" s="40" customFormat="1" ht="22.5" customHeight="1">
      <c r="B167" s="47"/>
      <c r="H167" s="47"/>
      <c r="J167" s="332"/>
      <c r="K167" s="285"/>
      <c r="L167" s="285"/>
      <c r="M167" s="285"/>
      <c r="N167" s="285"/>
      <c r="O167" s="285"/>
      <c r="P167" s="285"/>
      <c r="Q167" s="328"/>
      <c r="R167" s="348"/>
      <c r="S167" s="321"/>
      <c r="T167" s="349"/>
      <c r="U167" s="350"/>
      <c r="V167" s="349"/>
      <c r="W167" s="315"/>
      <c r="X167" s="349"/>
      <c r="Y167" s="224"/>
      <c r="Z167" s="331"/>
      <c r="AA167" s="224"/>
      <c r="AB167" s="285"/>
      <c r="AC167" s="285"/>
      <c r="AD167" s="285"/>
      <c r="AE167" s="285"/>
      <c r="AF167" s="285"/>
      <c r="AG167" s="285"/>
      <c r="AH167" s="285"/>
      <c r="AI167" s="285"/>
      <c r="AJ167" s="285"/>
      <c r="AK167" s="332"/>
      <c r="AL167" s="285"/>
      <c r="AM167" s="285"/>
      <c r="AN167" s="285"/>
      <c r="AO167" s="285"/>
      <c r="AP167" s="285"/>
      <c r="AQ167" s="285"/>
      <c r="AR167" s="285"/>
      <c r="AS167" s="332"/>
      <c r="AT167" s="285"/>
      <c r="AU167" s="285"/>
      <c r="AV167" s="285"/>
      <c r="AW167" s="285"/>
      <c r="AX167" s="285"/>
      <c r="AY167" s="285"/>
      <c r="AZ167" s="285"/>
      <c r="BA167" s="285"/>
      <c r="BB167" s="332"/>
      <c r="BC167" s="285"/>
      <c r="BD167" s="285"/>
      <c r="BE167" s="285"/>
      <c r="BF167" s="285"/>
      <c r="BG167" s="285"/>
      <c r="BH167" s="285"/>
      <c r="BI167" s="285"/>
      <c r="BJ167" s="213"/>
      <c r="BK167" s="334"/>
      <c r="BL167" s="213"/>
      <c r="BM167" s="213"/>
      <c r="BN167" s="213"/>
      <c r="BO167" s="213"/>
      <c r="BP167" s="213"/>
      <c r="BQ167" s="213"/>
    </row>
    <row r="168" spans="2:69" s="40" customFormat="1" ht="22.5" customHeight="1">
      <c r="B168" s="47"/>
      <c r="H168" s="47"/>
      <c r="J168" s="332"/>
      <c r="K168" s="285"/>
      <c r="L168" s="285"/>
      <c r="M168" s="285"/>
      <c r="N168" s="285"/>
      <c r="O168" s="285"/>
      <c r="P168" s="285"/>
      <c r="Q168" s="224"/>
      <c r="R168" s="331"/>
      <c r="S168" s="224"/>
      <c r="T168" s="224"/>
      <c r="U168" s="224"/>
      <c r="V168" s="224"/>
      <c r="W168" s="347"/>
      <c r="X168" s="224"/>
      <c r="Y168" s="224"/>
      <c r="Z168" s="331"/>
      <c r="AA168" s="224"/>
      <c r="AB168" s="285"/>
      <c r="AC168" s="285"/>
      <c r="AD168" s="285"/>
      <c r="AE168" s="285"/>
      <c r="AF168" s="285"/>
      <c r="AG168" s="285"/>
      <c r="AH168" s="285"/>
      <c r="AI168" s="285"/>
      <c r="AJ168" s="285"/>
      <c r="AK168" s="332"/>
      <c r="AL168" s="285"/>
      <c r="AM168" s="285"/>
      <c r="AN168" s="285"/>
      <c r="AO168" s="285"/>
      <c r="AP168" s="285"/>
      <c r="AQ168" s="285"/>
      <c r="AR168" s="285"/>
      <c r="AS168" s="332"/>
      <c r="AT168" s="285"/>
      <c r="AU168" s="285"/>
      <c r="AV168" s="285"/>
      <c r="AW168" s="285"/>
      <c r="AX168" s="285"/>
      <c r="AY168" s="285"/>
      <c r="AZ168" s="285"/>
      <c r="BA168" s="285"/>
      <c r="BB168" s="332"/>
      <c r="BC168" s="285"/>
      <c r="BD168" s="285"/>
      <c r="BE168" s="285"/>
      <c r="BF168" s="285"/>
      <c r="BG168" s="285"/>
      <c r="BH168" s="285"/>
      <c r="BI168" s="285"/>
      <c r="BJ168" s="285"/>
      <c r="BK168" s="332"/>
      <c r="BL168" s="285"/>
      <c r="BM168" s="285"/>
      <c r="BN168" s="285"/>
      <c r="BO168" s="285"/>
      <c r="BP168" s="285"/>
      <c r="BQ168" s="285"/>
    </row>
    <row r="169" spans="2:69" s="40" customFormat="1" ht="22.5" customHeight="1">
      <c r="B169" s="47"/>
      <c r="H169" s="47"/>
      <c r="J169" s="332"/>
      <c r="K169" s="285"/>
      <c r="L169" s="285"/>
      <c r="M169" s="285"/>
      <c r="N169" s="285"/>
      <c r="O169" s="285"/>
      <c r="P169" s="285"/>
      <c r="Q169" s="285"/>
      <c r="R169" s="332"/>
      <c r="S169" s="285"/>
      <c r="T169" s="285"/>
      <c r="U169" s="285"/>
      <c r="V169" s="285"/>
      <c r="W169" s="333"/>
      <c r="X169" s="285"/>
      <c r="Y169" s="285"/>
      <c r="Z169" s="332"/>
      <c r="AA169" s="285"/>
      <c r="AB169" s="285"/>
      <c r="AC169" s="285"/>
      <c r="AD169" s="285"/>
      <c r="AE169" s="285"/>
      <c r="AF169" s="285"/>
      <c r="AG169" s="285"/>
      <c r="AH169" s="285"/>
      <c r="AI169" s="285"/>
      <c r="AJ169" s="285"/>
      <c r="AK169" s="332"/>
      <c r="AL169" s="285"/>
      <c r="AM169" s="285"/>
      <c r="AN169" s="285"/>
      <c r="AO169" s="285"/>
      <c r="AP169" s="285"/>
      <c r="AQ169" s="285"/>
      <c r="AR169" s="285"/>
      <c r="AS169" s="332"/>
      <c r="AT169" s="285"/>
      <c r="AU169" s="285"/>
      <c r="AV169" s="285"/>
      <c r="AW169" s="285"/>
      <c r="AX169" s="285"/>
      <c r="AY169" s="285"/>
      <c r="AZ169" s="285"/>
      <c r="BA169" s="285"/>
      <c r="BB169" s="332"/>
      <c r="BC169" s="285"/>
      <c r="BD169" s="285"/>
      <c r="BE169" s="285"/>
      <c r="BF169" s="285"/>
      <c r="BG169" s="285"/>
      <c r="BH169" s="285"/>
      <c r="BI169" s="285"/>
      <c r="BJ169" s="285"/>
      <c r="BK169" s="332"/>
      <c r="BL169" s="285"/>
      <c r="BM169" s="285"/>
      <c r="BN169" s="285"/>
      <c r="BO169" s="285"/>
      <c r="BP169" s="285"/>
      <c r="BQ169" s="285"/>
    </row>
    <row r="170" spans="2:69" s="40" customFormat="1" ht="22.5" customHeight="1">
      <c r="B170" s="47"/>
      <c r="H170" s="47"/>
      <c r="J170" s="332"/>
      <c r="K170" s="285"/>
      <c r="L170" s="285"/>
      <c r="M170" s="285"/>
      <c r="N170" s="285"/>
      <c r="O170" s="285"/>
      <c r="P170" s="285"/>
      <c r="Q170" s="285"/>
      <c r="R170" s="332"/>
      <c r="S170" s="285"/>
      <c r="T170" s="285"/>
      <c r="U170" s="285"/>
      <c r="V170" s="285"/>
      <c r="W170" s="333"/>
      <c r="X170" s="285"/>
      <c r="Y170" s="285"/>
      <c r="Z170" s="332"/>
      <c r="AA170" s="285"/>
      <c r="AB170" s="285"/>
      <c r="AC170" s="285"/>
      <c r="AD170" s="285"/>
      <c r="AE170" s="285"/>
      <c r="AF170" s="285"/>
      <c r="AG170" s="285"/>
      <c r="AH170" s="285"/>
      <c r="AI170" s="285"/>
      <c r="AJ170" s="285"/>
      <c r="AK170" s="332"/>
      <c r="AL170" s="285"/>
      <c r="AM170" s="285"/>
      <c r="AN170" s="285"/>
      <c r="AO170" s="285"/>
      <c r="AP170" s="285"/>
      <c r="AQ170" s="285"/>
      <c r="AR170" s="285"/>
      <c r="AS170" s="332"/>
      <c r="AT170" s="285"/>
      <c r="AU170" s="285"/>
      <c r="AV170" s="285"/>
      <c r="AW170" s="285"/>
      <c r="AX170" s="285"/>
      <c r="AY170" s="285"/>
      <c r="AZ170" s="285"/>
      <c r="BA170" s="285"/>
      <c r="BB170" s="332"/>
      <c r="BC170" s="285"/>
      <c r="BD170" s="285"/>
      <c r="BE170" s="285"/>
      <c r="BF170" s="285"/>
      <c r="BG170" s="285"/>
      <c r="BH170" s="285"/>
      <c r="BI170" s="285"/>
      <c r="BJ170" s="285"/>
      <c r="BK170" s="332"/>
      <c r="BL170" s="285"/>
      <c r="BM170" s="285"/>
      <c r="BN170" s="285"/>
      <c r="BO170" s="285"/>
      <c r="BP170" s="285"/>
      <c r="BQ170" s="285"/>
    </row>
    <row r="171" spans="2:69" s="40" customFormat="1" ht="22.5" customHeight="1">
      <c r="B171" s="47"/>
      <c r="H171" s="47"/>
      <c r="J171" s="332"/>
      <c r="K171" s="285"/>
      <c r="L171" s="285"/>
      <c r="M171" s="285"/>
      <c r="N171" s="285"/>
      <c r="O171" s="285"/>
      <c r="P171" s="285"/>
      <c r="Q171" s="285"/>
      <c r="R171" s="332"/>
      <c r="S171" s="285"/>
      <c r="T171" s="285"/>
      <c r="U171" s="285"/>
      <c r="V171" s="285"/>
      <c r="W171" s="333"/>
      <c r="X171" s="285"/>
      <c r="Y171" s="285"/>
      <c r="Z171" s="332"/>
      <c r="AA171" s="285"/>
      <c r="AB171" s="285"/>
      <c r="AC171" s="285"/>
      <c r="AD171" s="285"/>
      <c r="AE171" s="285"/>
      <c r="AF171" s="285"/>
      <c r="AG171" s="285"/>
      <c r="AH171" s="285"/>
      <c r="AI171" s="285"/>
      <c r="AJ171" s="285"/>
      <c r="AK171" s="332"/>
      <c r="AL171" s="285"/>
      <c r="AM171" s="285"/>
      <c r="AN171" s="285"/>
      <c r="AO171" s="285"/>
      <c r="AP171" s="285"/>
      <c r="AQ171" s="285"/>
      <c r="AR171" s="285"/>
      <c r="AS171" s="332"/>
      <c r="AT171" s="285"/>
      <c r="AU171" s="285"/>
      <c r="AV171" s="285"/>
      <c r="AW171" s="285"/>
      <c r="AX171" s="285"/>
      <c r="AY171" s="285"/>
      <c r="AZ171" s="285"/>
      <c r="BA171" s="285"/>
      <c r="BB171" s="332"/>
      <c r="BC171" s="285"/>
      <c r="BD171" s="285"/>
      <c r="BE171" s="285"/>
      <c r="BF171" s="285"/>
      <c r="BG171" s="285"/>
      <c r="BH171" s="285"/>
      <c r="BI171" s="285"/>
      <c r="BJ171" s="285"/>
      <c r="BK171" s="332"/>
      <c r="BL171" s="285"/>
      <c r="BM171" s="285"/>
      <c r="BN171" s="285"/>
      <c r="BO171" s="285"/>
      <c r="BP171" s="285"/>
      <c r="BQ171" s="285"/>
    </row>
    <row r="172" spans="2:69" s="40" customFormat="1" ht="22.5" customHeight="1">
      <c r="B172" s="47"/>
      <c r="H172" s="47"/>
      <c r="J172" s="332"/>
      <c r="K172" s="285"/>
      <c r="L172" s="285"/>
      <c r="M172" s="285"/>
      <c r="N172" s="285"/>
      <c r="O172" s="285"/>
      <c r="P172" s="285"/>
      <c r="Q172" s="285"/>
      <c r="R172" s="332"/>
      <c r="S172" s="285"/>
      <c r="T172" s="285"/>
      <c r="U172" s="285"/>
      <c r="V172" s="285"/>
      <c r="W172" s="333"/>
      <c r="X172" s="285"/>
      <c r="Y172" s="285"/>
      <c r="Z172" s="332"/>
      <c r="AA172" s="285"/>
      <c r="AB172" s="285"/>
      <c r="AC172" s="285"/>
      <c r="AD172" s="285"/>
      <c r="AE172" s="285"/>
      <c r="AF172" s="285"/>
      <c r="AG172" s="285"/>
      <c r="AH172" s="285"/>
      <c r="AI172" s="285"/>
      <c r="AJ172" s="285"/>
      <c r="AK172" s="332"/>
      <c r="AL172" s="285"/>
      <c r="AM172" s="285"/>
      <c r="AN172" s="285"/>
      <c r="AO172" s="285"/>
      <c r="AP172" s="285"/>
      <c r="AQ172" s="285"/>
      <c r="AR172" s="285"/>
      <c r="AS172" s="332"/>
      <c r="AT172" s="285"/>
      <c r="AU172" s="285"/>
      <c r="AV172" s="285"/>
      <c r="AW172" s="285"/>
      <c r="AX172" s="285"/>
      <c r="AY172" s="285"/>
      <c r="AZ172" s="285"/>
      <c r="BA172" s="285"/>
      <c r="BB172" s="332"/>
      <c r="BC172" s="285"/>
      <c r="BD172" s="285"/>
      <c r="BE172" s="285"/>
      <c r="BF172" s="285"/>
      <c r="BG172" s="285"/>
      <c r="BH172" s="285"/>
      <c r="BI172" s="285"/>
      <c r="BJ172" s="285"/>
      <c r="BK172" s="332"/>
      <c r="BL172" s="285"/>
      <c r="BM172" s="285"/>
      <c r="BN172" s="285"/>
      <c r="BO172" s="285"/>
      <c r="BP172" s="285"/>
      <c r="BQ172" s="285"/>
    </row>
    <row r="173" spans="2:69" s="40" customFormat="1" ht="22.5" customHeight="1">
      <c r="B173" s="47"/>
      <c r="H173" s="47"/>
      <c r="J173" s="332"/>
      <c r="K173" s="285"/>
      <c r="L173" s="285"/>
      <c r="M173" s="285"/>
      <c r="N173" s="285"/>
      <c r="O173" s="285"/>
      <c r="P173" s="285"/>
      <c r="Q173" s="285"/>
      <c r="R173" s="332"/>
      <c r="S173" s="285"/>
      <c r="T173" s="285"/>
      <c r="U173" s="285"/>
      <c r="V173" s="285"/>
      <c r="W173" s="333"/>
      <c r="X173" s="285"/>
      <c r="Y173" s="285"/>
      <c r="Z173" s="332"/>
      <c r="AA173" s="285"/>
      <c r="AB173" s="285"/>
      <c r="AC173" s="285"/>
      <c r="AD173" s="285"/>
      <c r="AE173" s="285"/>
      <c r="AF173" s="285"/>
      <c r="AG173" s="285"/>
      <c r="AH173" s="285"/>
      <c r="AI173" s="285"/>
      <c r="AJ173" s="285"/>
      <c r="AK173" s="332"/>
      <c r="AL173" s="285"/>
      <c r="AM173" s="285"/>
      <c r="AN173" s="285"/>
      <c r="AO173" s="285"/>
      <c r="AP173" s="285"/>
      <c r="AQ173" s="285"/>
      <c r="AR173" s="285"/>
      <c r="AS173" s="332"/>
      <c r="AT173" s="285"/>
      <c r="AU173" s="285"/>
      <c r="AV173" s="285"/>
      <c r="AW173" s="285"/>
      <c r="AX173" s="285"/>
      <c r="AY173" s="285"/>
      <c r="AZ173" s="285"/>
      <c r="BA173" s="354"/>
      <c r="BB173" s="332"/>
      <c r="BC173" s="285"/>
      <c r="BD173" s="285"/>
      <c r="BE173" s="285"/>
      <c r="BF173" s="285"/>
      <c r="BG173" s="285"/>
      <c r="BH173" s="285"/>
      <c r="BI173" s="285"/>
      <c r="BJ173" s="285"/>
      <c r="BK173" s="332"/>
      <c r="BL173" s="285"/>
      <c r="BM173" s="285"/>
      <c r="BN173" s="285"/>
      <c r="BO173" s="285"/>
      <c r="BP173" s="285"/>
      <c r="BQ173" s="285"/>
    </row>
    <row r="174" spans="2:69" s="40" customFormat="1" ht="22.5" customHeight="1">
      <c r="B174" s="47"/>
      <c r="H174" s="47"/>
      <c r="J174" s="332"/>
      <c r="K174" s="285"/>
      <c r="L174" s="285"/>
      <c r="M174" s="285"/>
      <c r="N174" s="285"/>
      <c r="O174" s="285"/>
      <c r="P174" s="285"/>
      <c r="Q174" s="224"/>
      <c r="R174" s="332"/>
      <c r="S174" s="321"/>
      <c r="T174" s="352"/>
      <c r="U174" s="353"/>
      <c r="V174" s="352"/>
      <c r="W174" s="315"/>
      <c r="X174" s="349"/>
      <c r="Y174" s="285"/>
      <c r="Z174" s="332"/>
      <c r="AA174" s="285"/>
      <c r="AB174" s="285"/>
      <c r="AC174" s="285"/>
      <c r="AD174" s="285"/>
      <c r="AE174" s="285"/>
      <c r="AF174" s="285"/>
      <c r="AG174" s="285"/>
      <c r="AH174" s="285"/>
      <c r="AI174" s="285"/>
      <c r="AJ174" s="285"/>
      <c r="AK174" s="332"/>
      <c r="AL174" s="285"/>
      <c r="AM174" s="285"/>
      <c r="AN174" s="285"/>
      <c r="AO174" s="285"/>
      <c r="AP174" s="285"/>
      <c r="AQ174" s="285"/>
      <c r="AR174" s="285"/>
      <c r="AS174" s="332"/>
      <c r="AT174" s="285"/>
      <c r="AU174" s="285"/>
      <c r="AV174" s="285"/>
      <c r="AW174" s="285"/>
      <c r="AX174" s="285"/>
      <c r="AY174" s="285"/>
      <c r="AZ174" s="285"/>
      <c r="BA174" s="354"/>
      <c r="BB174" s="355"/>
      <c r="BC174" s="354"/>
      <c r="BD174" s="354"/>
      <c r="BE174" s="354"/>
      <c r="BF174" s="354"/>
      <c r="BG174" s="354"/>
      <c r="BH174" s="354"/>
      <c r="BI174" s="354"/>
      <c r="BJ174" s="285"/>
      <c r="BK174" s="332"/>
      <c r="BL174" s="285"/>
      <c r="BM174" s="285"/>
      <c r="BN174" s="285"/>
      <c r="BO174" s="285"/>
      <c r="BP174" s="285"/>
      <c r="BQ174" s="285"/>
    </row>
    <row r="175" spans="2:69" s="14" customFormat="1" ht="22.5" customHeight="1">
      <c r="B175" s="47"/>
      <c r="H175" s="47"/>
      <c r="J175" s="355"/>
      <c r="K175" s="354"/>
      <c r="L175" s="354"/>
      <c r="M175" s="354"/>
      <c r="N175" s="354"/>
      <c r="O175" s="354"/>
      <c r="P175" s="354"/>
      <c r="Q175" s="354"/>
      <c r="R175" s="332"/>
      <c r="S175" s="354"/>
      <c r="T175" s="354"/>
      <c r="U175" s="354"/>
      <c r="V175" s="354"/>
      <c r="W175" s="333"/>
      <c r="X175" s="354"/>
      <c r="Y175" s="354"/>
      <c r="Z175" s="355"/>
      <c r="AA175" s="354"/>
      <c r="AB175" s="354"/>
      <c r="AC175" s="354"/>
      <c r="AD175" s="354"/>
      <c r="AE175" s="354"/>
      <c r="AF175" s="354"/>
      <c r="AG175" s="354"/>
      <c r="AH175" s="354"/>
      <c r="AI175" s="354"/>
      <c r="AJ175" s="354"/>
      <c r="AK175" s="355"/>
      <c r="AL175" s="354"/>
      <c r="AM175" s="354"/>
      <c r="AN175" s="354"/>
      <c r="AO175" s="354"/>
      <c r="AP175" s="354"/>
      <c r="AQ175" s="354"/>
      <c r="AR175" s="354"/>
      <c r="AS175" s="355"/>
      <c r="AT175" s="354"/>
      <c r="AU175" s="354"/>
      <c r="AV175" s="354"/>
      <c r="AW175" s="354"/>
      <c r="AX175" s="354"/>
      <c r="AY175" s="354"/>
      <c r="AZ175" s="354"/>
      <c r="BA175" s="354"/>
      <c r="BB175" s="355"/>
      <c r="BC175" s="354"/>
      <c r="BD175" s="354"/>
      <c r="BE175" s="354"/>
      <c r="BF175" s="354"/>
      <c r="BG175" s="354"/>
      <c r="BH175" s="354"/>
      <c r="BI175" s="354"/>
      <c r="BJ175" s="285"/>
      <c r="BK175" s="332"/>
      <c r="BL175" s="285"/>
      <c r="BM175" s="285"/>
      <c r="BN175" s="285"/>
      <c r="BO175" s="285"/>
      <c r="BP175" s="285"/>
      <c r="BQ175" s="285"/>
    </row>
    <row r="176" spans="2:69" s="14" customFormat="1" ht="22.5" customHeight="1">
      <c r="B176" s="47"/>
      <c r="H176" s="47"/>
      <c r="J176" s="355"/>
      <c r="K176" s="354"/>
      <c r="L176" s="354"/>
      <c r="M176" s="354"/>
      <c r="N176" s="354"/>
      <c r="O176" s="354"/>
      <c r="P176" s="354"/>
      <c r="Q176" s="354"/>
      <c r="R176" s="332"/>
      <c r="S176" s="354"/>
      <c r="T176" s="354"/>
      <c r="U176" s="354"/>
      <c r="V176" s="354"/>
      <c r="W176" s="333"/>
      <c r="X176" s="354"/>
      <c r="Y176" s="354"/>
      <c r="Z176" s="355"/>
      <c r="AA176" s="354"/>
      <c r="AB176" s="354"/>
      <c r="AC176" s="354"/>
      <c r="AD176" s="354"/>
      <c r="AE176" s="354"/>
      <c r="AF176" s="354"/>
      <c r="AG176" s="354"/>
      <c r="AH176" s="354"/>
      <c r="AI176" s="354"/>
      <c r="AJ176" s="354"/>
      <c r="AK176" s="355"/>
      <c r="AL176" s="354"/>
      <c r="AM176" s="354"/>
      <c r="AN176" s="354"/>
      <c r="AO176" s="354"/>
      <c r="AP176" s="354"/>
      <c r="AQ176" s="354"/>
      <c r="AR176" s="354"/>
      <c r="AS176" s="355"/>
      <c r="AT176" s="354"/>
      <c r="AU176" s="354"/>
      <c r="AV176" s="354"/>
      <c r="AW176" s="354"/>
      <c r="AX176" s="354"/>
      <c r="AY176" s="354"/>
      <c r="AZ176" s="354"/>
      <c r="BA176" s="333"/>
      <c r="BB176" s="355"/>
      <c r="BC176" s="354"/>
      <c r="BD176" s="354"/>
      <c r="BE176" s="354"/>
      <c r="BF176" s="354"/>
      <c r="BG176" s="354"/>
      <c r="BH176" s="354"/>
      <c r="BI176" s="354"/>
      <c r="BJ176" s="285"/>
      <c r="BK176" s="332"/>
      <c r="BL176" s="285"/>
      <c r="BM176" s="285"/>
      <c r="BN176" s="285"/>
      <c r="BO176" s="285"/>
      <c r="BP176" s="285"/>
      <c r="BQ176" s="285"/>
    </row>
    <row r="177" spans="1:69" s="14" customFormat="1" ht="22.5" customHeight="1">
      <c r="B177" s="47"/>
      <c r="H177" s="47"/>
      <c r="J177" s="355"/>
      <c r="K177" s="354"/>
      <c r="L177" s="354"/>
      <c r="M177" s="354"/>
      <c r="N177" s="354"/>
      <c r="O177" s="354"/>
      <c r="P177" s="354"/>
      <c r="Q177" s="354"/>
      <c r="R177" s="332"/>
      <c r="S177" s="354"/>
      <c r="T177" s="354"/>
      <c r="U177" s="354"/>
      <c r="V177" s="354"/>
      <c r="W177" s="333"/>
      <c r="X177" s="354"/>
      <c r="Y177" s="354"/>
      <c r="Z177" s="355"/>
      <c r="AA177" s="354"/>
      <c r="AB177" s="354"/>
      <c r="AC177" s="354"/>
      <c r="AD177" s="354"/>
      <c r="AE177" s="354"/>
      <c r="AF177" s="354"/>
      <c r="AG177" s="354"/>
      <c r="AH177" s="354"/>
      <c r="AI177" s="354"/>
      <c r="AJ177" s="354"/>
      <c r="AK177" s="355"/>
      <c r="AL177" s="354"/>
      <c r="AM177" s="354"/>
      <c r="AN177" s="354"/>
      <c r="AO177" s="354"/>
      <c r="AP177" s="354"/>
      <c r="AQ177" s="354"/>
      <c r="AR177" s="354"/>
      <c r="AS177" s="355"/>
      <c r="AT177" s="354"/>
      <c r="AU177" s="354"/>
      <c r="AV177" s="354"/>
      <c r="AW177" s="354"/>
      <c r="AX177" s="354"/>
      <c r="AY177" s="354"/>
      <c r="AZ177" s="354"/>
      <c r="BA177" s="333"/>
      <c r="BB177" s="338"/>
      <c r="BC177" s="333"/>
      <c r="BD177" s="333"/>
      <c r="BE177" s="333"/>
      <c r="BF177" s="333"/>
      <c r="BG177" s="333"/>
      <c r="BH177" s="333"/>
      <c r="BI177" s="333"/>
      <c r="BJ177" s="285"/>
      <c r="BK177" s="332"/>
      <c r="BL177" s="285"/>
      <c r="BM177" s="285"/>
      <c r="BN177" s="285"/>
      <c r="BO177" s="285"/>
      <c r="BP177" s="285"/>
      <c r="BQ177" s="285"/>
    </row>
    <row r="178" spans="1:69" s="47" customFormat="1" ht="22.5" customHeight="1">
      <c r="J178" s="338"/>
      <c r="K178" s="333"/>
      <c r="L178" s="333"/>
      <c r="M178" s="333"/>
      <c r="N178" s="333"/>
      <c r="O178" s="333"/>
      <c r="P178" s="333"/>
      <c r="Q178" s="333"/>
      <c r="R178" s="332"/>
      <c r="S178" s="333"/>
      <c r="T178" s="333"/>
      <c r="U178" s="333"/>
      <c r="V178" s="333"/>
      <c r="W178" s="333"/>
      <c r="X178" s="333"/>
      <c r="Y178" s="333"/>
      <c r="Z178" s="338"/>
      <c r="AA178" s="333"/>
      <c r="AB178" s="333"/>
      <c r="AC178" s="333"/>
      <c r="AD178" s="333"/>
      <c r="AE178" s="333"/>
      <c r="AF178" s="333"/>
      <c r="AG178" s="333"/>
      <c r="AH178" s="333"/>
      <c r="AI178" s="333"/>
      <c r="AJ178" s="333"/>
      <c r="AK178" s="338"/>
      <c r="AL178" s="333"/>
      <c r="AM178" s="333"/>
      <c r="AN178" s="333"/>
      <c r="AO178" s="333"/>
      <c r="AP178" s="333"/>
      <c r="AQ178" s="333"/>
      <c r="AR178" s="333"/>
      <c r="AS178" s="338"/>
      <c r="AT178" s="333"/>
      <c r="AU178" s="333"/>
      <c r="AV178" s="333"/>
      <c r="AW178" s="333"/>
      <c r="AX178" s="333"/>
      <c r="AY178" s="333"/>
      <c r="AZ178" s="333"/>
      <c r="BA178" s="333"/>
      <c r="BB178" s="338"/>
      <c r="BC178" s="333"/>
      <c r="BD178" s="333"/>
      <c r="BE178" s="333"/>
      <c r="BF178" s="333"/>
      <c r="BG178" s="333"/>
      <c r="BH178" s="333"/>
      <c r="BI178" s="333"/>
      <c r="BJ178" s="285"/>
      <c r="BK178" s="332"/>
      <c r="BL178" s="285"/>
      <c r="BM178" s="285"/>
      <c r="BN178" s="285"/>
      <c r="BO178" s="285"/>
      <c r="BP178" s="285"/>
      <c r="BQ178" s="285"/>
    </row>
    <row r="179" spans="1:69" s="47" customFormat="1" ht="22.5" customHeight="1">
      <c r="J179" s="338"/>
      <c r="K179" s="333"/>
      <c r="L179" s="333"/>
      <c r="M179" s="333"/>
      <c r="N179" s="333"/>
      <c r="O179" s="333"/>
      <c r="P179" s="333"/>
      <c r="Q179" s="333"/>
      <c r="R179" s="332"/>
      <c r="S179" s="333"/>
      <c r="T179" s="333"/>
      <c r="U179" s="333"/>
      <c r="V179" s="333"/>
      <c r="W179" s="333"/>
      <c r="X179" s="333"/>
      <c r="Y179" s="333"/>
      <c r="Z179" s="338"/>
      <c r="AA179" s="333"/>
      <c r="AB179" s="333"/>
      <c r="AC179" s="333"/>
      <c r="AD179" s="333"/>
      <c r="AE179" s="333"/>
      <c r="AF179" s="333"/>
      <c r="AG179" s="333"/>
      <c r="AH179" s="333"/>
      <c r="AI179" s="333"/>
      <c r="AJ179" s="333"/>
      <c r="AK179" s="338"/>
      <c r="AL179" s="333"/>
      <c r="AM179" s="333"/>
      <c r="AN179" s="333"/>
      <c r="AO179" s="333"/>
      <c r="AP179" s="333"/>
      <c r="AQ179" s="333"/>
      <c r="AR179" s="333"/>
      <c r="AS179" s="338"/>
      <c r="AT179" s="333"/>
      <c r="AU179" s="333"/>
      <c r="AV179" s="333"/>
      <c r="AW179" s="333"/>
      <c r="AX179" s="333"/>
      <c r="AY179" s="333"/>
      <c r="AZ179" s="333"/>
      <c r="BA179" s="333"/>
      <c r="BB179" s="338"/>
      <c r="BC179" s="333"/>
      <c r="BD179" s="333"/>
      <c r="BE179" s="333"/>
      <c r="BF179" s="333"/>
      <c r="BG179" s="333"/>
      <c r="BH179" s="333"/>
      <c r="BI179" s="333"/>
      <c r="BJ179" s="354"/>
      <c r="BK179" s="355"/>
      <c r="BL179" s="354"/>
      <c r="BM179" s="354"/>
      <c r="BN179" s="354"/>
      <c r="BO179" s="354"/>
      <c r="BP179" s="354"/>
      <c r="BQ179" s="354"/>
    </row>
    <row r="180" spans="1:69" s="47" customFormat="1" ht="22.5" customHeight="1">
      <c r="J180" s="338"/>
      <c r="K180" s="333"/>
      <c r="L180" s="333"/>
      <c r="M180" s="333"/>
      <c r="N180" s="333"/>
      <c r="O180" s="333"/>
      <c r="P180" s="333"/>
      <c r="Q180" s="333"/>
      <c r="R180" s="332"/>
      <c r="S180" s="333"/>
      <c r="T180" s="333"/>
      <c r="U180" s="333"/>
      <c r="V180" s="333"/>
      <c r="W180" s="333"/>
      <c r="X180" s="333"/>
      <c r="Y180" s="333"/>
      <c r="Z180" s="338"/>
      <c r="AA180" s="333"/>
      <c r="AB180" s="333"/>
      <c r="AC180" s="333"/>
      <c r="AD180" s="333"/>
      <c r="AE180" s="333"/>
      <c r="AF180" s="333"/>
      <c r="AG180" s="333"/>
      <c r="AH180" s="333"/>
      <c r="AI180" s="333"/>
      <c r="AJ180" s="333"/>
      <c r="AK180" s="338"/>
      <c r="AL180" s="333"/>
      <c r="AM180" s="333"/>
      <c r="AN180" s="333"/>
      <c r="AO180" s="333"/>
      <c r="AP180" s="333"/>
      <c r="AQ180" s="333"/>
      <c r="AR180" s="333"/>
      <c r="AS180" s="338"/>
      <c r="AT180" s="333"/>
      <c r="AU180" s="333"/>
      <c r="AV180" s="333"/>
      <c r="AW180" s="333"/>
      <c r="AX180" s="333"/>
      <c r="AY180" s="333"/>
      <c r="AZ180" s="333"/>
      <c r="BA180" s="333"/>
      <c r="BB180" s="338"/>
      <c r="BC180" s="333"/>
      <c r="BD180" s="333"/>
      <c r="BE180" s="333"/>
      <c r="BF180" s="333"/>
      <c r="BG180" s="333"/>
      <c r="BH180" s="333"/>
      <c r="BI180" s="333"/>
      <c r="BJ180" s="354"/>
      <c r="BK180" s="355"/>
      <c r="BL180" s="354"/>
      <c r="BM180" s="354"/>
      <c r="BN180" s="354"/>
      <c r="BO180" s="354"/>
      <c r="BP180" s="354"/>
      <c r="BQ180" s="354"/>
    </row>
    <row r="181" spans="1:69" s="47" customFormat="1" ht="22.5" customHeight="1">
      <c r="J181" s="338"/>
      <c r="K181" s="333"/>
      <c r="L181" s="333"/>
      <c r="M181" s="333"/>
      <c r="N181" s="333"/>
      <c r="O181" s="333"/>
      <c r="P181" s="333"/>
      <c r="Q181" s="333"/>
      <c r="R181" s="332"/>
      <c r="S181" s="333"/>
      <c r="T181" s="333"/>
      <c r="U181" s="333"/>
      <c r="V181" s="333"/>
      <c r="W181" s="333"/>
      <c r="X181" s="333"/>
      <c r="Y181" s="333"/>
      <c r="Z181" s="338"/>
      <c r="AA181" s="333"/>
      <c r="AB181" s="333"/>
      <c r="AC181" s="333"/>
      <c r="AD181" s="333"/>
      <c r="AE181" s="333"/>
      <c r="AF181" s="333"/>
      <c r="AG181" s="333"/>
      <c r="AH181" s="333"/>
      <c r="AI181" s="333"/>
      <c r="AJ181" s="333"/>
      <c r="AK181" s="338"/>
      <c r="AL181" s="333"/>
      <c r="AM181" s="333"/>
      <c r="AN181" s="333"/>
      <c r="AO181" s="333"/>
      <c r="AP181" s="333"/>
      <c r="AQ181" s="333"/>
      <c r="AR181" s="333"/>
      <c r="AS181" s="338"/>
      <c r="AT181" s="333"/>
      <c r="AU181" s="333"/>
      <c r="AV181" s="333"/>
      <c r="AW181" s="333"/>
      <c r="AX181" s="333"/>
      <c r="AY181" s="333"/>
      <c r="AZ181" s="333"/>
      <c r="BA181" s="333"/>
      <c r="BB181" s="338"/>
      <c r="BC181" s="333"/>
      <c r="BD181" s="333"/>
      <c r="BE181" s="333"/>
      <c r="BF181" s="333"/>
      <c r="BG181" s="333"/>
      <c r="BH181" s="333"/>
      <c r="BI181" s="333"/>
      <c r="BJ181" s="354"/>
      <c r="BK181" s="355"/>
      <c r="BL181" s="354"/>
      <c r="BM181" s="354"/>
      <c r="BN181" s="354"/>
      <c r="BO181" s="354"/>
      <c r="BP181" s="354"/>
      <c r="BQ181" s="354"/>
    </row>
    <row r="182" spans="1:69" s="47" customFormat="1" ht="22.5" customHeight="1">
      <c r="J182" s="338"/>
      <c r="K182" s="333"/>
      <c r="L182" s="333"/>
      <c r="M182" s="333"/>
      <c r="N182" s="333"/>
      <c r="O182" s="333"/>
      <c r="P182" s="333"/>
      <c r="Q182" s="333"/>
      <c r="R182" s="332"/>
      <c r="S182" s="333"/>
      <c r="T182" s="333"/>
      <c r="U182" s="333"/>
      <c r="V182" s="333"/>
      <c r="W182" s="333"/>
      <c r="X182" s="333"/>
      <c r="Y182" s="333"/>
      <c r="Z182" s="338"/>
      <c r="AA182" s="333"/>
      <c r="AB182" s="333"/>
      <c r="AC182" s="333"/>
      <c r="AD182" s="333"/>
      <c r="AE182" s="333"/>
      <c r="AF182" s="333"/>
      <c r="AG182" s="333"/>
      <c r="AH182" s="333"/>
      <c r="AI182" s="333"/>
      <c r="AJ182" s="333"/>
      <c r="AK182" s="338"/>
      <c r="AL182" s="333"/>
      <c r="AM182" s="333"/>
      <c r="AN182" s="333"/>
      <c r="AO182" s="333"/>
      <c r="AP182" s="333"/>
      <c r="AQ182" s="333"/>
      <c r="AR182" s="333"/>
      <c r="AS182" s="338"/>
      <c r="AT182" s="333"/>
      <c r="AU182" s="333"/>
      <c r="AV182" s="333"/>
      <c r="AW182" s="333"/>
      <c r="AX182" s="333"/>
      <c r="AY182" s="333"/>
      <c r="AZ182" s="333"/>
      <c r="BA182" s="333"/>
      <c r="BB182" s="338"/>
      <c r="BC182" s="333"/>
      <c r="BD182" s="333"/>
      <c r="BE182" s="333"/>
      <c r="BF182" s="333"/>
      <c r="BG182" s="333"/>
      <c r="BH182" s="333"/>
      <c r="BI182" s="333"/>
      <c r="BJ182" s="333"/>
      <c r="BK182" s="338"/>
      <c r="BL182" s="333"/>
      <c r="BM182" s="333"/>
      <c r="BN182" s="333"/>
      <c r="BO182" s="333"/>
      <c r="BP182" s="333"/>
      <c r="BQ182" s="333"/>
    </row>
    <row r="183" spans="1:69" s="47" customFormat="1" ht="22.5" customHeight="1">
      <c r="J183" s="338"/>
      <c r="K183" s="333"/>
      <c r="L183" s="333"/>
      <c r="M183" s="333"/>
      <c r="N183" s="333"/>
      <c r="O183" s="333"/>
      <c r="P183" s="333"/>
      <c r="Q183" s="333"/>
      <c r="R183" s="332"/>
      <c r="S183" s="333"/>
      <c r="T183" s="333"/>
      <c r="U183" s="333"/>
      <c r="V183" s="333"/>
      <c r="W183" s="333"/>
      <c r="X183" s="333"/>
      <c r="Y183" s="333"/>
      <c r="Z183" s="338"/>
      <c r="AA183" s="333"/>
      <c r="AB183" s="333"/>
      <c r="AC183" s="333"/>
      <c r="AD183" s="333"/>
      <c r="AE183" s="333"/>
      <c r="AF183" s="333"/>
      <c r="AG183" s="333"/>
      <c r="AH183" s="333"/>
      <c r="AI183" s="333"/>
      <c r="AJ183" s="333"/>
      <c r="AK183" s="338"/>
      <c r="AL183" s="333"/>
      <c r="AM183" s="333"/>
      <c r="AN183" s="333"/>
      <c r="AO183" s="333"/>
      <c r="AP183" s="333"/>
      <c r="AQ183" s="333"/>
      <c r="AR183" s="333"/>
      <c r="AS183" s="338"/>
      <c r="AT183" s="333"/>
      <c r="AU183" s="333"/>
      <c r="AV183" s="333"/>
      <c r="AW183" s="333"/>
      <c r="AX183" s="333"/>
      <c r="AY183" s="333"/>
      <c r="AZ183" s="333"/>
      <c r="BA183" s="333"/>
      <c r="BB183" s="338"/>
      <c r="BC183" s="333"/>
      <c r="BD183" s="333"/>
      <c r="BE183" s="333"/>
      <c r="BF183" s="333"/>
      <c r="BG183" s="333"/>
      <c r="BH183" s="333"/>
      <c r="BI183" s="333"/>
      <c r="BJ183" s="333"/>
      <c r="BK183" s="338"/>
      <c r="BL183" s="333"/>
      <c r="BM183" s="333"/>
      <c r="BN183" s="333"/>
      <c r="BO183" s="333"/>
      <c r="BP183" s="333"/>
      <c r="BQ183" s="333"/>
    </row>
    <row r="184" spans="1:69" s="47" customFormat="1" ht="22.5" customHeight="1">
      <c r="J184" s="338"/>
      <c r="K184" s="333"/>
      <c r="L184" s="333"/>
      <c r="M184" s="333"/>
      <c r="N184" s="333"/>
      <c r="O184" s="333"/>
      <c r="P184" s="333"/>
      <c r="Q184" s="333"/>
      <c r="R184" s="332"/>
      <c r="S184" s="333"/>
      <c r="T184" s="333"/>
      <c r="U184" s="333"/>
      <c r="V184" s="333"/>
      <c r="W184" s="333"/>
      <c r="X184" s="333"/>
      <c r="Y184" s="333"/>
      <c r="Z184" s="338"/>
      <c r="AA184" s="333"/>
      <c r="AB184" s="333"/>
      <c r="AC184" s="333"/>
      <c r="AD184" s="333"/>
      <c r="AE184" s="333"/>
      <c r="AF184" s="333"/>
      <c r="AG184" s="333"/>
      <c r="AH184" s="333"/>
      <c r="AI184" s="333"/>
      <c r="AJ184" s="333"/>
      <c r="AK184" s="338"/>
      <c r="AL184" s="333"/>
      <c r="AM184" s="333"/>
      <c r="AN184" s="333"/>
      <c r="AO184" s="333"/>
      <c r="AP184" s="333"/>
      <c r="AQ184" s="333"/>
      <c r="AR184" s="333"/>
      <c r="AS184" s="338"/>
      <c r="AT184" s="333"/>
      <c r="AU184" s="333"/>
      <c r="AV184" s="333"/>
      <c r="AW184" s="333"/>
      <c r="AX184" s="333"/>
      <c r="AY184" s="333"/>
      <c r="AZ184" s="333"/>
      <c r="BA184" s="333"/>
      <c r="BB184" s="338"/>
      <c r="BC184" s="333"/>
      <c r="BD184" s="333"/>
      <c r="BE184" s="333"/>
      <c r="BF184" s="333"/>
      <c r="BG184" s="333"/>
      <c r="BH184" s="333"/>
      <c r="BI184" s="333"/>
      <c r="BJ184" s="333"/>
      <c r="BK184" s="338"/>
      <c r="BL184" s="333"/>
      <c r="BM184" s="333"/>
      <c r="BN184" s="333"/>
      <c r="BO184" s="333"/>
      <c r="BP184" s="333"/>
      <c r="BQ184" s="333"/>
    </row>
    <row r="185" spans="1:69" s="47" customFormat="1" ht="22.5" customHeight="1">
      <c r="J185" s="338"/>
      <c r="K185" s="333"/>
      <c r="L185" s="333"/>
      <c r="M185" s="333"/>
      <c r="N185" s="333"/>
      <c r="O185" s="333"/>
      <c r="P185" s="333"/>
      <c r="Q185" s="333"/>
      <c r="R185" s="332"/>
      <c r="S185" s="333"/>
      <c r="T185" s="333"/>
      <c r="U185" s="333"/>
      <c r="V185" s="333"/>
      <c r="W185" s="333"/>
      <c r="X185" s="333"/>
      <c r="Y185" s="333"/>
      <c r="Z185" s="338"/>
      <c r="AA185" s="333"/>
      <c r="AB185" s="333"/>
      <c r="AC185" s="333"/>
      <c r="AD185" s="333"/>
      <c r="AE185" s="333"/>
      <c r="AF185" s="333"/>
      <c r="AG185" s="333"/>
      <c r="AH185" s="333"/>
      <c r="AI185" s="333"/>
      <c r="AJ185" s="333"/>
      <c r="AK185" s="338"/>
      <c r="AL185" s="333"/>
      <c r="AM185" s="333"/>
      <c r="AN185" s="333"/>
      <c r="AO185" s="333"/>
      <c r="AP185" s="333"/>
      <c r="AQ185" s="333"/>
      <c r="AR185" s="333"/>
      <c r="AS185" s="338"/>
      <c r="AT185" s="333"/>
      <c r="AU185" s="333"/>
      <c r="AV185" s="333"/>
      <c r="AW185" s="333"/>
      <c r="AX185" s="333"/>
      <c r="AY185" s="333"/>
      <c r="AZ185" s="333"/>
      <c r="BA185" s="333"/>
      <c r="BB185" s="338"/>
      <c r="BC185" s="333"/>
      <c r="BD185" s="333"/>
      <c r="BE185" s="333"/>
      <c r="BF185" s="333"/>
      <c r="BG185" s="333"/>
      <c r="BH185" s="333"/>
      <c r="BI185" s="333"/>
      <c r="BJ185" s="333"/>
      <c r="BK185" s="338"/>
      <c r="BL185" s="333"/>
      <c r="BM185" s="333"/>
      <c r="BN185" s="333"/>
      <c r="BO185" s="333"/>
      <c r="BP185" s="333"/>
      <c r="BQ185" s="333"/>
    </row>
    <row r="186" spans="1:69" s="47" customFormat="1" ht="22.5" customHeight="1">
      <c r="A186" s="134"/>
      <c r="J186" s="338"/>
      <c r="K186" s="333"/>
      <c r="L186" s="333"/>
      <c r="M186" s="333"/>
      <c r="N186" s="333"/>
      <c r="O186" s="333"/>
      <c r="P186" s="333"/>
      <c r="Q186" s="347"/>
      <c r="R186" s="332"/>
      <c r="S186" s="356"/>
      <c r="T186" s="357"/>
      <c r="U186" s="358"/>
      <c r="V186" s="357"/>
      <c r="W186" s="315"/>
      <c r="X186" s="315"/>
      <c r="Y186" s="333"/>
      <c r="Z186" s="338"/>
      <c r="AA186" s="333"/>
      <c r="AB186" s="333"/>
      <c r="AC186" s="333"/>
      <c r="AD186" s="333"/>
      <c r="AE186" s="333"/>
      <c r="AF186" s="333"/>
      <c r="AG186" s="333"/>
      <c r="AH186" s="333"/>
      <c r="AI186" s="333"/>
      <c r="AJ186" s="333"/>
      <c r="AK186" s="338"/>
      <c r="AL186" s="333"/>
      <c r="AM186" s="333"/>
      <c r="AN186" s="333"/>
      <c r="AO186" s="333"/>
      <c r="AP186" s="333"/>
      <c r="AQ186" s="333"/>
      <c r="AR186" s="333"/>
      <c r="AS186" s="338"/>
      <c r="AT186" s="333"/>
      <c r="AU186" s="333"/>
      <c r="AV186" s="333"/>
      <c r="AW186" s="333"/>
      <c r="AX186" s="333"/>
      <c r="AY186" s="333"/>
      <c r="AZ186" s="333"/>
      <c r="BA186" s="333"/>
      <c r="BB186" s="338"/>
      <c r="BC186" s="333"/>
      <c r="BD186" s="333"/>
      <c r="BE186" s="333"/>
      <c r="BF186" s="333"/>
      <c r="BG186" s="333"/>
      <c r="BH186" s="333"/>
      <c r="BI186" s="333"/>
      <c r="BJ186" s="333"/>
      <c r="BK186" s="338"/>
      <c r="BL186" s="333"/>
      <c r="BM186" s="333"/>
      <c r="BN186" s="333"/>
      <c r="BO186" s="333"/>
      <c r="BP186" s="333"/>
      <c r="BQ186" s="333"/>
    </row>
    <row r="187" spans="1:69" s="47" customFormat="1" ht="22.5" customHeight="1">
      <c r="A187" s="134"/>
      <c r="J187" s="338"/>
      <c r="K187" s="333"/>
      <c r="L187" s="333"/>
      <c r="M187" s="333"/>
      <c r="N187" s="333"/>
      <c r="O187" s="333"/>
      <c r="P187" s="333"/>
      <c r="Q187" s="347"/>
      <c r="R187" s="332"/>
      <c r="S187" s="356"/>
      <c r="T187" s="357"/>
      <c r="U187" s="358"/>
      <c r="V187" s="357"/>
      <c r="W187" s="315"/>
      <c r="X187" s="315"/>
      <c r="Y187" s="333"/>
      <c r="Z187" s="338"/>
      <c r="AA187" s="333"/>
      <c r="AB187" s="333"/>
      <c r="AC187" s="333"/>
      <c r="AD187" s="333"/>
      <c r="AE187" s="333"/>
      <c r="AF187" s="333"/>
      <c r="AG187" s="333"/>
      <c r="AH187" s="333"/>
      <c r="AI187" s="333"/>
      <c r="AJ187" s="333"/>
      <c r="AK187" s="338"/>
      <c r="AL187" s="333"/>
      <c r="AM187" s="333"/>
      <c r="AN187" s="333"/>
      <c r="AO187" s="333"/>
      <c r="AP187" s="333"/>
      <c r="AQ187" s="333"/>
      <c r="AR187" s="333"/>
      <c r="AS187" s="338"/>
      <c r="AT187" s="333"/>
      <c r="AU187" s="333"/>
      <c r="AV187" s="333"/>
      <c r="AW187" s="333"/>
      <c r="AX187" s="333"/>
      <c r="AY187" s="333"/>
      <c r="AZ187" s="333"/>
      <c r="BA187" s="333"/>
      <c r="BB187" s="338"/>
      <c r="BC187" s="333"/>
      <c r="BD187" s="333"/>
      <c r="BE187" s="333"/>
      <c r="BF187" s="333"/>
      <c r="BG187" s="333"/>
      <c r="BH187" s="333"/>
      <c r="BI187" s="333"/>
      <c r="BJ187" s="333"/>
      <c r="BK187" s="338"/>
      <c r="BL187" s="333"/>
      <c r="BM187" s="333"/>
      <c r="BN187" s="333"/>
      <c r="BO187" s="333"/>
      <c r="BP187" s="333"/>
      <c r="BQ187" s="333"/>
    </row>
    <row r="188" spans="1:69" s="47" customFormat="1" ht="22.5" customHeight="1">
      <c r="A188" s="134"/>
      <c r="B188" s="134"/>
      <c r="C188" s="1530"/>
      <c r="D188" s="133"/>
      <c r="E188" s="136"/>
      <c r="F188" s="133"/>
      <c r="G188" s="133"/>
      <c r="H188" s="133"/>
      <c r="I188" s="133"/>
      <c r="J188" s="338"/>
      <c r="K188" s="333"/>
      <c r="L188" s="333"/>
      <c r="M188" s="333"/>
      <c r="N188" s="333"/>
      <c r="O188" s="333"/>
      <c r="P188" s="333"/>
      <c r="Q188" s="347"/>
      <c r="R188" s="332"/>
      <c r="S188" s="356"/>
      <c r="T188" s="357"/>
      <c r="U188" s="358"/>
      <c r="V188" s="357"/>
      <c r="W188" s="315"/>
      <c r="X188" s="315"/>
      <c r="Y188" s="333"/>
      <c r="Z188" s="338"/>
      <c r="AA188" s="333"/>
      <c r="AB188" s="333"/>
      <c r="AC188" s="333"/>
      <c r="AD188" s="333"/>
      <c r="AE188" s="333"/>
      <c r="AF188" s="333"/>
      <c r="AG188" s="333"/>
      <c r="AH188" s="333"/>
      <c r="AI188" s="333"/>
      <c r="AJ188" s="333"/>
      <c r="AK188" s="338"/>
      <c r="AL188" s="333"/>
      <c r="AM188" s="333"/>
      <c r="AN188" s="333"/>
      <c r="AO188" s="333"/>
      <c r="AP188" s="333"/>
      <c r="AQ188" s="333"/>
      <c r="AR188" s="333"/>
      <c r="AS188" s="338"/>
      <c r="AT188" s="333"/>
      <c r="AU188" s="333"/>
      <c r="AV188" s="333"/>
      <c r="AW188" s="333"/>
      <c r="AX188" s="333"/>
      <c r="AY188" s="333"/>
      <c r="AZ188" s="333"/>
      <c r="BA188" s="333"/>
      <c r="BB188" s="338"/>
      <c r="BC188" s="333"/>
      <c r="BD188" s="333"/>
      <c r="BE188" s="333"/>
      <c r="BF188" s="333"/>
      <c r="BG188" s="333"/>
      <c r="BH188" s="333"/>
      <c r="BI188" s="333"/>
      <c r="BJ188" s="333"/>
      <c r="BK188" s="338"/>
      <c r="BL188" s="333"/>
      <c r="BM188" s="333"/>
      <c r="BN188" s="333"/>
      <c r="BO188" s="333"/>
      <c r="BP188" s="333"/>
      <c r="BQ188" s="333"/>
    </row>
    <row r="189" spans="1:69" s="47" customFormat="1" ht="22.5" customHeight="1">
      <c r="A189" s="134"/>
      <c r="B189" s="134"/>
      <c r="C189" s="1530"/>
      <c r="D189" s="133"/>
      <c r="E189" s="136"/>
      <c r="F189" s="133"/>
      <c r="G189" s="133"/>
      <c r="H189" s="133"/>
      <c r="I189" s="133"/>
      <c r="J189" s="338"/>
      <c r="K189" s="333"/>
      <c r="L189" s="333"/>
      <c r="M189" s="333"/>
      <c r="N189" s="333"/>
      <c r="O189" s="333"/>
      <c r="P189" s="333"/>
      <c r="Q189" s="347"/>
      <c r="R189" s="332"/>
      <c r="S189" s="356"/>
      <c r="T189" s="357"/>
      <c r="U189" s="358"/>
      <c r="V189" s="357"/>
      <c r="W189" s="315"/>
      <c r="X189" s="315"/>
      <c r="Y189" s="333"/>
      <c r="Z189" s="338"/>
      <c r="AA189" s="333"/>
      <c r="AB189" s="333"/>
      <c r="AC189" s="333"/>
      <c r="AD189" s="333"/>
      <c r="AE189" s="333"/>
      <c r="AF189" s="333"/>
      <c r="AG189" s="333"/>
      <c r="AH189" s="333"/>
      <c r="AI189" s="333"/>
      <c r="AJ189" s="333"/>
      <c r="AK189" s="338"/>
      <c r="AL189" s="333"/>
      <c r="AM189" s="333"/>
      <c r="AN189" s="333"/>
      <c r="AO189" s="333"/>
      <c r="AP189" s="333"/>
      <c r="AQ189" s="333"/>
      <c r="AR189" s="333"/>
      <c r="AS189" s="338"/>
      <c r="AT189" s="333"/>
      <c r="AU189" s="333"/>
      <c r="AV189" s="333"/>
      <c r="AW189" s="333"/>
      <c r="AX189" s="333"/>
      <c r="AY189" s="333"/>
      <c r="AZ189" s="333"/>
      <c r="BA189" s="213"/>
      <c r="BB189" s="338"/>
      <c r="BC189" s="333"/>
      <c r="BD189" s="333"/>
      <c r="BE189" s="333"/>
      <c r="BF189" s="333"/>
      <c r="BG189" s="333"/>
      <c r="BH189" s="333"/>
      <c r="BI189" s="333"/>
      <c r="BJ189" s="333"/>
      <c r="BK189" s="338"/>
      <c r="BL189" s="333"/>
      <c r="BM189" s="333"/>
      <c r="BN189" s="333"/>
      <c r="BO189" s="333"/>
      <c r="BP189" s="333"/>
      <c r="BQ189" s="333"/>
    </row>
    <row r="190" spans="1:69" s="47" customFormat="1" ht="22.5" customHeight="1">
      <c r="A190" s="134"/>
      <c r="B190" s="134"/>
      <c r="C190" s="1530"/>
      <c r="D190" s="133"/>
      <c r="E190" s="136"/>
      <c r="F190" s="133"/>
      <c r="G190" s="133"/>
      <c r="H190" s="133"/>
      <c r="I190" s="133"/>
      <c r="J190" s="338"/>
      <c r="K190" s="333"/>
      <c r="L190" s="333"/>
      <c r="M190" s="333"/>
      <c r="N190" s="333"/>
      <c r="O190" s="333"/>
      <c r="P190" s="333"/>
      <c r="Q190" s="347"/>
      <c r="R190" s="332"/>
      <c r="S190" s="356"/>
      <c r="T190" s="357"/>
      <c r="U190" s="358"/>
      <c r="V190" s="357"/>
      <c r="W190" s="315"/>
      <c r="X190" s="315"/>
      <c r="Y190" s="333"/>
      <c r="Z190" s="338"/>
      <c r="AA190" s="333"/>
      <c r="AB190" s="333"/>
      <c r="AC190" s="333"/>
      <c r="AD190" s="333"/>
      <c r="AE190" s="333"/>
      <c r="AF190" s="333"/>
      <c r="AG190" s="333"/>
      <c r="AH190" s="333"/>
      <c r="AI190" s="333"/>
      <c r="AJ190" s="333"/>
      <c r="AK190" s="338"/>
      <c r="AL190" s="333"/>
      <c r="AM190" s="333"/>
      <c r="AN190" s="333"/>
      <c r="AO190" s="333"/>
      <c r="AP190" s="333"/>
      <c r="AQ190" s="333"/>
      <c r="AR190" s="333"/>
      <c r="AS190" s="338"/>
      <c r="AT190" s="333"/>
      <c r="AU190" s="333"/>
      <c r="AV190" s="333"/>
      <c r="AW190" s="333"/>
      <c r="AX190" s="333"/>
      <c r="AY190" s="333"/>
      <c r="AZ190" s="333"/>
      <c r="BA190" s="213"/>
      <c r="BB190" s="334"/>
      <c r="BC190" s="213"/>
      <c r="BD190" s="213"/>
      <c r="BE190" s="213"/>
      <c r="BF190" s="213"/>
      <c r="BG190" s="213"/>
      <c r="BH190" s="213"/>
      <c r="BI190" s="213"/>
      <c r="BJ190" s="333"/>
      <c r="BK190" s="338"/>
      <c r="BL190" s="333"/>
      <c r="BM190" s="333"/>
      <c r="BN190" s="333"/>
      <c r="BO190" s="333"/>
      <c r="BP190" s="333"/>
      <c r="BQ190" s="333"/>
    </row>
    <row r="191" spans="1:69" ht="22.5" customHeight="1">
      <c r="BJ191" s="333"/>
      <c r="BK191" s="338"/>
      <c r="BL191" s="333"/>
      <c r="BM191" s="333"/>
      <c r="BN191" s="333"/>
      <c r="BO191" s="333"/>
      <c r="BP191" s="333"/>
      <c r="BQ191" s="333"/>
    </row>
    <row r="192" spans="1:69" ht="22.5" customHeight="1">
      <c r="BJ192" s="333"/>
      <c r="BK192" s="338"/>
      <c r="BL192" s="333"/>
      <c r="BM192" s="333"/>
      <c r="BN192" s="333"/>
      <c r="BO192" s="333"/>
      <c r="BP192" s="333"/>
      <c r="BQ192" s="333"/>
    </row>
    <row r="193" spans="62:69" ht="22.5" customHeight="1">
      <c r="BJ193" s="333"/>
      <c r="BK193" s="338"/>
      <c r="BL193" s="333"/>
      <c r="BM193" s="333"/>
      <c r="BN193" s="333"/>
      <c r="BO193" s="333"/>
      <c r="BP193" s="333"/>
      <c r="BQ193" s="333"/>
    </row>
    <row r="194" spans="62:69" ht="22.5" customHeight="1">
      <c r="BJ194" s="333"/>
      <c r="BK194" s="338"/>
      <c r="BL194" s="333"/>
      <c r="BM194" s="333"/>
      <c r="BN194" s="333"/>
      <c r="BO194" s="333"/>
      <c r="BP194" s="333"/>
      <c r="BQ194" s="333"/>
    </row>
    <row r="195" spans="62:69" ht="22.5" customHeight="1"/>
    <row r="196" spans="62:69" ht="22.5" customHeight="1"/>
    <row r="197" spans="62:69" ht="22.5" customHeight="1"/>
    <row r="198" spans="62:69" ht="22.5" customHeight="1"/>
    <row r="199" spans="62:69" ht="22.5" customHeight="1"/>
    <row r="200" spans="62:69" ht="22.5" customHeight="1"/>
    <row r="201" spans="62:69" ht="22.5" customHeight="1"/>
    <row r="202" spans="62:69" ht="22.5" customHeight="1"/>
    <row r="203" spans="62:69" ht="22.5" customHeight="1"/>
    <row r="204" spans="62:69" ht="22.5" customHeight="1"/>
    <row r="205" spans="62:69" ht="22.5" customHeight="1"/>
    <row r="206" spans="62:69" ht="22.5" customHeight="1"/>
    <row r="207" spans="62:69" ht="22.5" customHeight="1"/>
    <row r="208" spans="62:69" ht="22.5" customHeight="1"/>
    <row r="209" ht="22.5" customHeight="1"/>
    <row r="210" ht="22.5" customHeight="1"/>
  </sheetData>
  <mergeCells count="86">
    <mergeCell ref="AW3:AW4"/>
    <mergeCell ref="AX3:AX4"/>
    <mergeCell ref="AY3:AY4"/>
    <mergeCell ref="AZ3:AZ4"/>
    <mergeCell ref="BA3:BA4"/>
    <mergeCell ref="BQ3:BQ4"/>
    <mergeCell ref="BR3:BR4"/>
    <mergeCell ref="BS3:BS4"/>
    <mergeCell ref="BE3:BE4"/>
    <mergeCell ref="BF3:BF4"/>
    <mergeCell ref="BT3:BT4"/>
    <mergeCell ref="A5:E5"/>
    <mergeCell ref="BL5:BP5"/>
    <mergeCell ref="BL3:BL4"/>
    <mergeCell ref="BM3:BM4"/>
    <mergeCell ref="BN3:BN4"/>
    <mergeCell ref="BO3:BO4"/>
    <mergeCell ref="BP3:BP4"/>
    <mergeCell ref="BG3:BG4"/>
    <mergeCell ref="BH3:BH4"/>
    <mergeCell ref="BI3:BI4"/>
    <mergeCell ref="BJ3:BJ4"/>
    <mergeCell ref="BK3:BK4"/>
    <mergeCell ref="BB3:BB4"/>
    <mergeCell ref="BC3:BC4"/>
    <mergeCell ref="BD3:BD4"/>
    <mergeCell ref="Y3:Y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BR1:BT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P1:AS1"/>
    <mergeCell ref="AT1:AX1"/>
    <mergeCell ref="BA1:BB1"/>
    <mergeCell ref="BH1:BK1"/>
    <mergeCell ref="BL1:BP1"/>
    <mergeCell ref="A1:I1"/>
    <mergeCell ref="J1:N1"/>
    <mergeCell ref="P1:R1"/>
    <mergeCell ref="Y1:AA1"/>
    <mergeCell ref="AB1:AF1"/>
    <mergeCell ref="AI1:AJ1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V3:AV4"/>
    <mergeCell ref="AI3:AI4"/>
    <mergeCell ref="AJ3:AJ4"/>
    <mergeCell ref="AK3:AK4"/>
    <mergeCell ref="AQ3:AQ4"/>
    <mergeCell ref="AR3:AR4"/>
    <mergeCell ref="AS3:AS4"/>
    <mergeCell ref="AT3:AT4"/>
    <mergeCell ref="AU3:AU4"/>
    <mergeCell ref="AL3:AL4"/>
    <mergeCell ref="AM3:AM4"/>
    <mergeCell ref="AN3:AN4"/>
    <mergeCell ref="AO3:AO4"/>
    <mergeCell ref="AP3:AP4"/>
  </mergeCells>
  <pageMargins left="0.62992125984252001" right="0.511811023622047" top="0.39370078740157499" bottom="0.511811023622047" header="0.25" footer="0"/>
  <pageSetup paperSize="448" scale="99" firstPageNumber="56" orientation="portrait" useFirstPageNumber="1" r:id="rId1"/>
  <headerFooter alignWithMargins="0">
    <oddFooter>&amp;C&amp;"Times New Roman,Regular"&amp;8&amp;P</oddFooter>
  </headerFooter>
  <colBreaks count="3" manualBreakCount="3">
    <brk id="9" max="1048575" man="1"/>
    <brk id="18" max="1048575" man="1"/>
    <brk id="54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6"/>
  <dimension ref="A1:V57"/>
  <sheetViews>
    <sheetView zoomScale="130" zoomScaleNormal="130" workbookViewId="0">
      <pane xSplit="4" ySplit="3" topLeftCell="E4" activePane="bottomRight" state="frozen"/>
      <selection activeCell="F85" sqref="F85"/>
      <selection pane="topRight" activeCell="F85" sqref="F85"/>
      <selection pane="bottomLeft" activeCell="F85" sqref="F85"/>
      <selection pane="bottomRight" activeCell="W31" sqref="W31"/>
    </sheetView>
  </sheetViews>
  <sheetFormatPr defaultColWidth="9.140625" defaultRowHeight="12.75"/>
  <cols>
    <col min="1" max="1" width="2.28515625" style="518" customWidth="1"/>
    <col min="2" max="2" width="3" style="8" customWidth="1"/>
    <col min="3" max="3" width="2.85546875" style="52" customWidth="1"/>
    <col min="4" max="4" width="33.42578125" style="8" customWidth="1"/>
    <col min="5" max="5" width="7.28515625" style="8" customWidth="1"/>
    <col min="6" max="6" width="7.140625" style="8" customWidth="1"/>
    <col min="7" max="7" width="7" style="8" customWidth="1"/>
    <col min="8" max="8" width="7.28515625" style="8" customWidth="1"/>
    <col min="9" max="9" width="7.85546875" style="8" customWidth="1"/>
    <col min="10" max="10" width="6.85546875" style="8" customWidth="1"/>
    <col min="11" max="11" width="7" style="8" customWidth="1"/>
    <col min="12" max="12" width="6.85546875" style="8" customWidth="1"/>
    <col min="13" max="13" width="7.28515625" style="8" customWidth="1"/>
    <col min="14" max="14" width="6.42578125" style="8" customWidth="1"/>
    <col min="15" max="15" width="6" style="8" customWidth="1"/>
    <col min="16" max="16" width="6.85546875" style="8" customWidth="1"/>
    <col min="17" max="18" width="6.7109375" style="8" customWidth="1"/>
    <col min="19" max="19" width="6" style="8" customWidth="1"/>
    <col min="20" max="20" width="6.42578125" style="8" customWidth="1"/>
    <col min="21" max="21" width="7" style="8" customWidth="1"/>
    <col min="22" max="16384" width="9.140625" style="8"/>
  </cols>
  <sheetData>
    <row r="1" spans="1:22" s="429" customFormat="1" ht="14.25" customHeight="1">
      <c r="A1" s="2127" t="s">
        <v>2075</v>
      </c>
      <c r="B1" s="2127"/>
      <c r="C1" s="2127"/>
      <c r="D1" s="2127"/>
      <c r="E1" s="2127"/>
      <c r="F1" s="2127"/>
      <c r="G1" s="2127"/>
      <c r="H1" s="2127"/>
      <c r="I1" s="2127"/>
      <c r="J1" s="2126" t="s">
        <v>2074</v>
      </c>
      <c r="K1" s="2126"/>
      <c r="L1" s="2126"/>
      <c r="M1" s="2126"/>
      <c r="N1" s="2126"/>
      <c r="O1" s="2126"/>
      <c r="P1" s="2126"/>
      <c r="Q1" s="2126"/>
      <c r="R1" s="2126"/>
      <c r="S1" s="2128" t="s">
        <v>2080</v>
      </c>
      <c r="T1" s="2128"/>
      <c r="U1" s="2128"/>
    </row>
    <row r="2" spans="1:22" s="98" customFormat="1" ht="48" customHeight="1">
      <c r="A2" s="2130" t="s">
        <v>26</v>
      </c>
      <c r="B2" s="2131"/>
      <c r="C2" s="2131"/>
      <c r="D2" s="2132"/>
      <c r="E2" s="38" t="s">
        <v>1168</v>
      </c>
      <c r="F2" s="38" t="s">
        <v>1169</v>
      </c>
      <c r="G2" s="1382" t="s">
        <v>1170</v>
      </c>
      <c r="H2" s="1382" t="s">
        <v>2507</v>
      </c>
      <c r="I2" s="1382" t="s">
        <v>2506</v>
      </c>
      <c r="J2" s="38" t="s">
        <v>1171</v>
      </c>
      <c r="K2" s="38" t="s">
        <v>1172</v>
      </c>
      <c r="L2" s="38" t="s">
        <v>1161</v>
      </c>
      <c r="M2" s="38" t="s">
        <v>1173</v>
      </c>
      <c r="N2" s="38" t="s">
        <v>1174</v>
      </c>
      <c r="O2" s="38" t="s">
        <v>1175</v>
      </c>
      <c r="P2" s="38" t="s">
        <v>1176</v>
      </c>
      <c r="Q2" s="144" t="s">
        <v>1513</v>
      </c>
      <c r="R2" s="1206" t="s">
        <v>2072</v>
      </c>
      <c r="S2" s="1206" t="s">
        <v>2073</v>
      </c>
      <c r="T2" s="1206" t="s">
        <v>2116</v>
      </c>
      <c r="U2" s="1154" t="s">
        <v>2115</v>
      </c>
    </row>
    <row r="3" spans="1:22" s="98" customFormat="1" ht="10.5" customHeight="1">
      <c r="A3" s="2133"/>
      <c r="B3" s="2134"/>
      <c r="C3" s="2134"/>
      <c r="D3" s="2135"/>
      <c r="E3" s="1207">
        <v>1</v>
      </c>
      <c r="F3" s="38">
        <v>2</v>
      </c>
      <c r="G3" s="38">
        <v>3</v>
      </c>
      <c r="H3" s="38">
        <v>4</v>
      </c>
      <c r="I3" s="38">
        <v>5</v>
      </c>
      <c r="J3" s="38">
        <v>6</v>
      </c>
      <c r="K3" s="38">
        <v>7</v>
      </c>
      <c r="L3" s="38">
        <v>8</v>
      </c>
      <c r="M3" s="38">
        <v>9</v>
      </c>
      <c r="N3" s="38">
        <v>10</v>
      </c>
      <c r="O3" s="38">
        <v>11</v>
      </c>
      <c r="P3" s="38">
        <v>12</v>
      </c>
      <c r="Q3" s="38">
        <v>13</v>
      </c>
      <c r="R3" s="38">
        <v>14</v>
      </c>
      <c r="S3" s="38">
        <v>15</v>
      </c>
      <c r="T3" s="38">
        <v>16</v>
      </c>
      <c r="U3" s="1145">
        <v>17</v>
      </c>
      <c r="V3" s="86"/>
    </row>
    <row r="4" spans="1:22" s="62" customFormat="1" ht="13.5" customHeight="1">
      <c r="A4" s="511" t="s">
        <v>84</v>
      </c>
      <c r="B4" s="2123" t="s">
        <v>85</v>
      </c>
      <c r="C4" s="2123"/>
      <c r="D4" s="2123"/>
      <c r="E4" s="594">
        <v>7</v>
      </c>
      <c r="F4" s="594">
        <v>6</v>
      </c>
      <c r="G4" s="594">
        <v>6</v>
      </c>
      <c r="H4" s="594">
        <v>6</v>
      </c>
      <c r="I4" s="594">
        <v>5</v>
      </c>
      <c r="J4" s="594">
        <v>5</v>
      </c>
      <c r="K4" s="594">
        <v>5</v>
      </c>
      <c r="L4" s="594">
        <v>5</v>
      </c>
      <c r="M4" s="594">
        <v>5</v>
      </c>
      <c r="N4" s="594">
        <v>5</v>
      </c>
      <c r="O4" s="594">
        <v>5</v>
      </c>
      <c r="P4" s="594">
        <v>5</v>
      </c>
      <c r="Q4" s="594">
        <v>5</v>
      </c>
      <c r="R4" s="594">
        <v>5</v>
      </c>
      <c r="S4" s="594">
        <v>5</v>
      </c>
      <c r="T4" s="594">
        <v>5</v>
      </c>
      <c r="U4" s="594">
        <v>4</v>
      </c>
    </row>
    <row r="5" spans="1:22" s="480" customFormat="1" ht="13.5" customHeight="1">
      <c r="A5" s="512" t="s">
        <v>689</v>
      </c>
      <c r="B5" s="2156" t="s">
        <v>1162</v>
      </c>
      <c r="C5" s="2156"/>
      <c r="D5" s="2156"/>
      <c r="E5" s="595"/>
      <c r="F5" s="595"/>
      <c r="G5" s="595"/>
      <c r="H5" s="595"/>
      <c r="I5" s="595"/>
      <c r="J5" s="595"/>
      <c r="K5" s="595"/>
      <c r="L5" s="595"/>
      <c r="M5" s="595"/>
      <c r="N5" s="595"/>
      <c r="O5" s="595"/>
      <c r="P5" s="595"/>
      <c r="Q5" s="595"/>
      <c r="R5" s="595"/>
      <c r="S5" s="595"/>
      <c r="T5" s="595"/>
      <c r="U5" s="595"/>
    </row>
    <row r="6" spans="1:22" s="480" customFormat="1" ht="12">
      <c r="A6" s="2123" t="s">
        <v>1232</v>
      </c>
      <c r="B6" s="2123"/>
      <c r="C6" s="2123"/>
      <c r="D6" s="2123"/>
      <c r="E6" s="594"/>
      <c r="F6" s="594"/>
      <c r="G6" s="594"/>
      <c r="H6" s="594"/>
      <c r="I6" s="594"/>
      <c r="J6" s="594"/>
      <c r="K6" s="594"/>
      <c r="L6" s="594"/>
      <c r="M6" s="594"/>
      <c r="N6" s="594"/>
      <c r="O6" s="594"/>
      <c r="P6" s="594"/>
      <c r="Q6" s="594"/>
      <c r="R6" s="594"/>
      <c r="S6" s="594"/>
      <c r="T6" s="594"/>
      <c r="U6" s="594"/>
    </row>
    <row r="7" spans="1:22" s="480" customFormat="1" ht="12" customHeight="1">
      <c r="A7" s="514"/>
      <c r="B7" s="2157" t="s">
        <v>1148</v>
      </c>
      <c r="C7" s="2157"/>
      <c r="D7" s="2157"/>
      <c r="E7" s="319">
        <v>8.5</v>
      </c>
      <c r="F7" s="319">
        <v>8.5</v>
      </c>
      <c r="G7" s="319">
        <v>8.5</v>
      </c>
      <c r="H7" s="319">
        <v>8.5</v>
      </c>
      <c r="I7" s="319">
        <v>8.5</v>
      </c>
      <c r="J7" s="319">
        <v>7.5</v>
      </c>
      <c r="K7" s="319">
        <v>7.5</v>
      </c>
      <c r="L7" s="319">
        <v>7.5</v>
      </c>
      <c r="M7" s="319">
        <v>7.5</v>
      </c>
      <c r="N7" s="319">
        <v>7.5</v>
      </c>
      <c r="O7" s="319">
        <v>7.5</v>
      </c>
      <c r="P7" s="319">
        <v>7.5</v>
      </c>
      <c r="Q7" s="319">
        <v>7.5</v>
      </c>
      <c r="R7" s="319">
        <v>7.5</v>
      </c>
      <c r="S7" s="319">
        <v>5</v>
      </c>
      <c r="T7" s="319">
        <v>7.5</v>
      </c>
      <c r="U7" s="319">
        <v>7.5</v>
      </c>
    </row>
    <row r="8" spans="1:22" s="481" customFormat="1" ht="13.5" customHeight="1">
      <c r="A8" s="522"/>
      <c r="B8" s="2138" t="s">
        <v>1158</v>
      </c>
      <c r="C8" s="2138"/>
      <c r="D8" s="2138"/>
      <c r="E8" s="596"/>
      <c r="F8" s="596"/>
      <c r="G8" s="596"/>
      <c r="H8" s="596"/>
      <c r="I8" s="596"/>
      <c r="J8" s="596"/>
      <c r="K8" s="596"/>
      <c r="L8" s="596"/>
      <c r="M8" s="596"/>
      <c r="N8" s="596"/>
      <c r="O8" s="596"/>
      <c r="P8" s="596"/>
      <c r="Q8" s="596"/>
      <c r="R8" s="596"/>
      <c r="S8" s="596"/>
      <c r="T8" s="596"/>
      <c r="U8" s="596"/>
    </row>
    <row r="9" spans="1:22" s="480" customFormat="1" ht="12.75" customHeight="1">
      <c r="A9" s="514"/>
      <c r="B9" s="483"/>
      <c r="C9" s="2137" t="s">
        <v>1157</v>
      </c>
      <c r="D9" s="2137"/>
      <c r="E9" s="319">
        <v>10.5</v>
      </c>
      <c r="F9" s="319">
        <v>10.5</v>
      </c>
      <c r="G9" s="319">
        <v>10.5</v>
      </c>
      <c r="H9" s="319">
        <v>10.5</v>
      </c>
      <c r="I9" s="319">
        <v>10.5</v>
      </c>
      <c r="J9" s="319">
        <v>9.5</v>
      </c>
      <c r="K9" s="319">
        <v>9.5</v>
      </c>
      <c r="L9" s="319">
        <v>9.5</v>
      </c>
      <c r="M9" s="319">
        <v>9.5</v>
      </c>
      <c r="N9" s="319">
        <v>9.5</v>
      </c>
      <c r="O9" s="319">
        <v>9.5</v>
      </c>
      <c r="P9" s="319">
        <v>10.4</v>
      </c>
      <c r="Q9" s="319">
        <v>10.4</v>
      </c>
      <c r="R9" s="319">
        <v>10.4</v>
      </c>
      <c r="S9" s="319">
        <v>5</v>
      </c>
      <c r="T9" s="319">
        <v>10.199999999999999</v>
      </c>
      <c r="U9" s="319">
        <v>10.199999999999999</v>
      </c>
    </row>
    <row r="10" spans="1:22" s="480" customFormat="1" ht="12.75" customHeight="1">
      <c r="A10" s="513"/>
      <c r="B10" s="488"/>
      <c r="C10" s="2153" t="s">
        <v>1156</v>
      </c>
      <c r="D10" s="2153"/>
      <c r="E10" s="393">
        <v>11.5</v>
      </c>
      <c r="F10" s="393">
        <v>11.5</v>
      </c>
      <c r="G10" s="393">
        <v>11.5</v>
      </c>
      <c r="H10" s="393">
        <v>11.5</v>
      </c>
      <c r="I10" s="393">
        <v>11.5</v>
      </c>
      <c r="J10" s="393">
        <v>10.5</v>
      </c>
      <c r="K10" s="393">
        <v>10.5</v>
      </c>
      <c r="L10" s="393">
        <v>10.5</v>
      </c>
      <c r="M10" s="393">
        <v>10.5</v>
      </c>
      <c r="N10" s="393">
        <v>10.5</v>
      </c>
      <c r="O10" s="393">
        <v>10.5</v>
      </c>
      <c r="P10" s="393">
        <v>11.4</v>
      </c>
      <c r="Q10" s="393">
        <v>11.4</v>
      </c>
      <c r="R10" s="393">
        <v>11.4</v>
      </c>
      <c r="S10" s="393">
        <v>5.5</v>
      </c>
      <c r="T10" s="393">
        <v>10.7</v>
      </c>
      <c r="U10" s="393">
        <v>10.7</v>
      </c>
    </row>
    <row r="11" spans="1:22" s="480" customFormat="1" ht="12.75" customHeight="1">
      <c r="A11" s="514"/>
      <c r="B11" s="483"/>
      <c r="C11" s="2137" t="s">
        <v>1155</v>
      </c>
      <c r="D11" s="2137"/>
      <c r="E11" s="319">
        <v>12.5</v>
      </c>
      <c r="F11" s="319">
        <v>12.5</v>
      </c>
      <c r="G11" s="319">
        <v>12.5</v>
      </c>
      <c r="H11" s="319">
        <v>12.5</v>
      </c>
      <c r="I11" s="319">
        <v>12.5</v>
      </c>
      <c r="J11" s="319">
        <v>11.5</v>
      </c>
      <c r="K11" s="319">
        <v>11.5</v>
      </c>
      <c r="L11" s="319">
        <v>11.5</v>
      </c>
      <c r="M11" s="319">
        <v>11.5</v>
      </c>
      <c r="N11" s="319">
        <v>11.5</v>
      </c>
      <c r="O11" s="319">
        <v>11.5</v>
      </c>
      <c r="P11" s="319" t="s">
        <v>1324</v>
      </c>
      <c r="Q11" s="319" t="s">
        <v>1324</v>
      </c>
      <c r="R11" s="319" t="s">
        <v>1514</v>
      </c>
      <c r="S11" s="319" t="s">
        <v>2077</v>
      </c>
      <c r="T11" s="319" t="s">
        <v>1514</v>
      </c>
      <c r="U11" s="319" t="s">
        <v>1514</v>
      </c>
    </row>
    <row r="12" spans="1:22" s="481" customFormat="1" ht="12.75" customHeight="1">
      <c r="A12" s="522"/>
      <c r="B12" s="2138" t="s">
        <v>1151</v>
      </c>
      <c r="C12" s="2138"/>
      <c r="D12" s="2138"/>
      <c r="E12" s="596"/>
      <c r="F12" s="596"/>
      <c r="G12" s="596"/>
      <c r="H12" s="596"/>
      <c r="I12" s="596"/>
      <c r="J12" s="596"/>
      <c r="K12" s="596"/>
      <c r="L12" s="596"/>
      <c r="M12" s="596"/>
      <c r="N12" s="596"/>
      <c r="O12" s="596"/>
      <c r="P12" s="596"/>
      <c r="Q12" s="596"/>
      <c r="R12" s="596"/>
      <c r="S12" s="596"/>
      <c r="T12" s="596"/>
      <c r="U12" s="596"/>
    </row>
    <row r="13" spans="1:22" s="480" customFormat="1" ht="12.75" customHeight="1">
      <c r="A13" s="514"/>
      <c r="B13" s="483"/>
      <c r="C13" s="2157" t="s">
        <v>1157</v>
      </c>
      <c r="D13" s="2157"/>
      <c r="E13" s="319">
        <v>9.5</v>
      </c>
      <c r="F13" s="319">
        <v>9.5</v>
      </c>
      <c r="G13" s="319">
        <v>9.5</v>
      </c>
      <c r="H13" s="319">
        <v>9.5</v>
      </c>
      <c r="I13" s="319">
        <v>9.5</v>
      </c>
      <c r="J13" s="319">
        <v>8.5</v>
      </c>
      <c r="K13" s="319">
        <v>8.5</v>
      </c>
      <c r="L13" s="319">
        <v>8.5</v>
      </c>
      <c r="M13" s="319">
        <v>8.5</v>
      </c>
      <c r="N13" s="319">
        <v>8.5</v>
      </c>
      <c r="O13" s="319">
        <v>8.5</v>
      </c>
      <c r="P13" s="319">
        <v>10</v>
      </c>
      <c r="Q13" s="319">
        <v>10</v>
      </c>
      <c r="R13" s="319">
        <v>10</v>
      </c>
      <c r="S13" s="319">
        <v>4</v>
      </c>
      <c r="T13" s="319">
        <v>9</v>
      </c>
      <c r="U13" s="319">
        <v>9</v>
      </c>
    </row>
    <row r="14" spans="1:22" s="480" customFormat="1" ht="12.75" customHeight="1">
      <c r="A14" s="513"/>
      <c r="B14" s="488"/>
      <c r="C14" s="2158" t="s">
        <v>1156</v>
      </c>
      <c r="D14" s="2158"/>
      <c r="E14" s="393">
        <v>10</v>
      </c>
      <c r="F14" s="393">
        <v>10</v>
      </c>
      <c r="G14" s="393">
        <v>10</v>
      </c>
      <c r="H14" s="393">
        <v>10</v>
      </c>
      <c r="I14" s="393">
        <v>10</v>
      </c>
      <c r="J14" s="393">
        <v>9</v>
      </c>
      <c r="K14" s="393">
        <v>9</v>
      </c>
      <c r="L14" s="393">
        <v>9</v>
      </c>
      <c r="M14" s="393">
        <v>9</v>
      </c>
      <c r="N14" s="393">
        <v>9</v>
      </c>
      <c r="O14" s="393">
        <v>9</v>
      </c>
      <c r="P14" s="393">
        <v>10.5</v>
      </c>
      <c r="Q14" s="393">
        <v>10.5</v>
      </c>
      <c r="R14" s="393">
        <v>10.5</v>
      </c>
      <c r="S14" s="393">
        <v>4.5</v>
      </c>
      <c r="T14" s="393">
        <v>9.5</v>
      </c>
      <c r="U14" s="393">
        <v>9.5</v>
      </c>
    </row>
    <row r="15" spans="1:22" s="480" customFormat="1" ht="12.75" customHeight="1">
      <c r="A15" s="514"/>
      <c r="B15" s="483"/>
      <c r="C15" s="2157" t="s">
        <v>1155</v>
      </c>
      <c r="D15" s="2157"/>
      <c r="E15" s="319">
        <v>10.5</v>
      </c>
      <c r="F15" s="319">
        <v>10.5</v>
      </c>
      <c r="G15" s="319">
        <v>10.5</v>
      </c>
      <c r="H15" s="319">
        <v>10.5</v>
      </c>
      <c r="I15" s="319">
        <v>10.5</v>
      </c>
      <c r="J15" s="319">
        <v>9.5</v>
      </c>
      <c r="K15" s="319">
        <v>9.5</v>
      </c>
      <c r="L15" s="319">
        <v>9.5</v>
      </c>
      <c r="M15" s="319">
        <v>9.5</v>
      </c>
      <c r="N15" s="319">
        <v>9.5</v>
      </c>
      <c r="O15" s="319">
        <v>9.5</v>
      </c>
      <c r="P15" s="319">
        <v>11</v>
      </c>
      <c r="Q15" s="319">
        <v>11</v>
      </c>
      <c r="R15" s="319">
        <v>11</v>
      </c>
      <c r="S15" s="319">
        <v>5</v>
      </c>
      <c r="T15" s="319">
        <v>10</v>
      </c>
      <c r="U15" s="319">
        <v>10</v>
      </c>
    </row>
    <row r="16" spans="1:22" s="480" customFormat="1" ht="13.5" customHeight="1">
      <c r="A16" s="2139" t="s">
        <v>1233</v>
      </c>
      <c r="B16" s="2139"/>
      <c r="C16" s="2139"/>
      <c r="D16" s="2139"/>
      <c r="E16" s="362"/>
      <c r="F16" s="362"/>
      <c r="G16" s="362"/>
      <c r="H16" s="362"/>
      <c r="I16" s="362"/>
      <c r="J16" s="362"/>
      <c r="K16" s="362"/>
      <c r="L16" s="362"/>
      <c r="M16" s="367"/>
      <c r="N16" s="367"/>
      <c r="O16" s="367"/>
      <c r="P16" s="367"/>
      <c r="Q16" s="367"/>
      <c r="R16" s="367"/>
      <c r="S16" s="367"/>
      <c r="T16" s="367"/>
      <c r="U16" s="367"/>
    </row>
    <row r="17" spans="1:21" s="480" customFormat="1" ht="12" customHeight="1">
      <c r="A17" s="516"/>
      <c r="B17" s="2155" t="s">
        <v>1163</v>
      </c>
      <c r="C17" s="2155"/>
      <c r="D17" s="2155"/>
      <c r="E17" s="597">
        <v>13.5</v>
      </c>
      <c r="F17" s="295">
        <v>13.5</v>
      </c>
      <c r="G17" s="295">
        <v>12</v>
      </c>
      <c r="H17" s="295">
        <v>12</v>
      </c>
      <c r="I17" s="295">
        <v>12</v>
      </c>
      <c r="J17" s="295">
        <v>12</v>
      </c>
      <c r="K17" s="295">
        <v>11.5</v>
      </c>
      <c r="L17" s="295">
        <v>11.5</v>
      </c>
      <c r="M17" s="295">
        <v>10</v>
      </c>
      <c r="N17" s="325">
        <v>10</v>
      </c>
      <c r="O17" s="325">
        <v>10</v>
      </c>
      <c r="P17" s="325" t="s">
        <v>1422</v>
      </c>
      <c r="Q17" s="325" t="s">
        <v>1422</v>
      </c>
      <c r="R17" s="325" t="s">
        <v>1515</v>
      </c>
      <c r="S17" s="325" t="s">
        <v>1515</v>
      </c>
      <c r="T17" s="325" t="s">
        <v>1515</v>
      </c>
      <c r="U17" s="325" t="s">
        <v>1515</v>
      </c>
    </row>
    <row r="18" spans="1:21" s="480" customFormat="1" ht="12" customHeight="1">
      <c r="A18" s="515"/>
      <c r="B18" s="2154" t="s">
        <v>1164</v>
      </c>
      <c r="C18" s="2154"/>
      <c r="D18" s="2154"/>
      <c r="E18" s="362">
        <v>14.5</v>
      </c>
      <c r="F18" s="362">
        <v>14.5</v>
      </c>
      <c r="G18" s="362">
        <v>12.5</v>
      </c>
      <c r="H18" s="362">
        <v>12.5</v>
      </c>
      <c r="I18" s="362">
        <v>12.5</v>
      </c>
      <c r="J18" s="362">
        <v>12.5</v>
      </c>
      <c r="K18" s="362">
        <v>12</v>
      </c>
      <c r="L18" s="362">
        <v>12</v>
      </c>
      <c r="M18" s="362">
        <v>10.5</v>
      </c>
      <c r="N18" s="367">
        <v>10.5</v>
      </c>
      <c r="O18" s="367">
        <v>10.5</v>
      </c>
      <c r="P18" s="367" t="s">
        <v>1423</v>
      </c>
      <c r="Q18" s="362" t="s">
        <v>1423</v>
      </c>
      <c r="R18" s="362" t="s">
        <v>1516</v>
      </c>
      <c r="S18" s="362" t="s">
        <v>1516</v>
      </c>
      <c r="T18" s="362" t="s">
        <v>1516</v>
      </c>
      <c r="U18" s="362" t="s">
        <v>1516</v>
      </c>
    </row>
    <row r="19" spans="1:21" s="480" customFormat="1" ht="12" customHeight="1">
      <c r="A19" s="516"/>
      <c r="B19" s="2136" t="s">
        <v>1165</v>
      </c>
      <c r="C19" s="2136"/>
      <c r="D19" s="2136"/>
      <c r="E19" s="597" t="s">
        <v>789</v>
      </c>
      <c r="F19" s="597" t="s">
        <v>789</v>
      </c>
      <c r="G19" s="597" t="s">
        <v>789</v>
      </c>
      <c r="H19" s="597" t="s">
        <v>789</v>
      </c>
      <c r="I19" s="597" t="s">
        <v>789</v>
      </c>
      <c r="J19" s="597" t="s">
        <v>789</v>
      </c>
      <c r="K19" s="597">
        <v>12.5</v>
      </c>
      <c r="L19" s="456">
        <v>12.5</v>
      </c>
      <c r="M19" s="295">
        <v>12.5</v>
      </c>
      <c r="N19" s="295">
        <v>11</v>
      </c>
      <c r="O19" s="325">
        <v>11</v>
      </c>
      <c r="P19" s="325" t="s">
        <v>1423</v>
      </c>
      <c r="Q19" s="325" t="s">
        <v>1423</v>
      </c>
      <c r="R19" s="325" t="s">
        <v>1517</v>
      </c>
      <c r="S19" s="325" t="s">
        <v>1517</v>
      </c>
      <c r="T19" s="325" t="s">
        <v>1517</v>
      </c>
      <c r="U19" s="325" t="s">
        <v>1517</v>
      </c>
    </row>
    <row r="20" spans="1:21" s="480" customFormat="1" ht="12.75" customHeight="1">
      <c r="A20" s="515"/>
      <c r="B20" s="2141" t="s">
        <v>1166</v>
      </c>
      <c r="C20" s="2141"/>
      <c r="D20" s="2141"/>
      <c r="E20" s="598" t="s">
        <v>789</v>
      </c>
      <c r="F20" s="598" t="s">
        <v>789</v>
      </c>
      <c r="G20" s="598" t="s">
        <v>789</v>
      </c>
      <c r="H20" s="598" t="s">
        <v>789</v>
      </c>
      <c r="I20" s="598" t="s">
        <v>789</v>
      </c>
      <c r="J20" s="598" t="s">
        <v>789</v>
      </c>
      <c r="K20" s="598" t="s">
        <v>789</v>
      </c>
      <c r="L20" s="598" t="s">
        <v>789</v>
      </c>
      <c r="M20" s="598" t="s">
        <v>789</v>
      </c>
      <c r="N20" s="598">
        <v>11.04</v>
      </c>
      <c r="O20" s="367">
        <v>11.04</v>
      </c>
      <c r="P20" s="367" t="s">
        <v>1424</v>
      </c>
      <c r="Q20" s="366" t="s">
        <v>1424</v>
      </c>
      <c r="R20" s="366" t="s">
        <v>1518</v>
      </c>
      <c r="S20" s="366" t="s">
        <v>1518</v>
      </c>
      <c r="T20" s="366" t="s">
        <v>1518</v>
      </c>
      <c r="U20" s="366" t="s">
        <v>1518</v>
      </c>
    </row>
    <row r="21" spans="1:21" s="480" customFormat="1" ht="12.75" customHeight="1">
      <c r="A21" s="2140" t="s">
        <v>1789</v>
      </c>
      <c r="B21" s="2140"/>
      <c r="C21" s="2140"/>
      <c r="D21" s="2140"/>
      <c r="E21" s="218"/>
      <c r="F21" s="218"/>
      <c r="G21" s="218"/>
      <c r="H21" s="218"/>
      <c r="I21" s="519"/>
      <c r="J21" s="519"/>
      <c r="K21" s="519"/>
      <c r="L21" s="519"/>
      <c r="M21" s="519"/>
      <c r="N21" s="519"/>
      <c r="O21" s="519"/>
      <c r="P21" s="519"/>
      <c r="Q21" s="519"/>
      <c r="R21" s="519"/>
      <c r="S21" s="519"/>
      <c r="T21" s="519"/>
      <c r="U21" s="519"/>
    </row>
    <row r="22" spans="1:21" s="480" customFormat="1" ht="12.75" customHeight="1">
      <c r="A22" s="515"/>
      <c r="B22" s="490"/>
      <c r="C22" s="2129" t="s">
        <v>1142</v>
      </c>
      <c r="D22" s="2129"/>
      <c r="E22" s="510" t="s">
        <v>1141</v>
      </c>
      <c r="F22" s="510" t="s">
        <v>1141</v>
      </c>
      <c r="G22" s="510" t="s">
        <v>1141</v>
      </c>
      <c r="H22" s="510" t="s">
        <v>1141</v>
      </c>
      <c r="I22" s="510" t="s">
        <v>1141</v>
      </c>
      <c r="J22" s="510" t="s">
        <v>1141</v>
      </c>
      <c r="K22" s="510" t="s">
        <v>1141</v>
      </c>
      <c r="L22" s="510" t="s">
        <v>1141</v>
      </c>
      <c r="M22" s="510" t="s">
        <v>1141</v>
      </c>
      <c r="N22" s="510" t="s">
        <v>1141</v>
      </c>
      <c r="O22" s="510" t="s">
        <v>1141</v>
      </c>
      <c r="P22" s="510" t="s">
        <v>1141</v>
      </c>
      <c r="Q22" s="510" t="s">
        <v>1141</v>
      </c>
      <c r="R22" s="510" t="s">
        <v>1141</v>
      </c>
      <c r="S22" s="510" t="s">
        <v>1141</v>
      </c>
      <c r="T22" s="510" t="s">
        <v>1141</v>
      </c>
      <c r="U22" s="510" t="s">
        <v>1141</v>
      </c>
    </row>
    <row r="23" spans="1:21" s="480" customFormat="1" ht="12.75" customHeight="1">
      <c r="A23" s="516"/>
      <c r="B23" s="218"/>
      <c r="C23" s="2145" t="s">
        <v>1143</v>
      </c>
      <c r="D23" s="2145"/>
      <c r="E23" s="532">
        <v>9</v>
      </c>
      <c r="F23" s="532">
        <v>9</v>
      </c>
      <c r="G23" s="532">
        <v>9</v>
      </c>
      <c r="H23" s="532">
        <v>9</v>
      </c>
      <c r="I23" s="532">
        <v>9</v>
      </c>
      <c r="J23" s="532">
        <v>9</v>
      </c>
      <c r="K23" s="532">
        <v>9</v>
      </c>
      <c r="L23" s="532">
        <v>9</v>
      </c>
      <c r="M23" s="532">
        <v>9</v>
      </c>
      <c r="N23" s="532">
        <v>7.5</v>
      </c>
      <c r="O23" s="532">
        <v>8.5</v>
      </c>
      <c r="P23" s="532">
        <v>8.5</v>
      </c>
      <c r="Q23" s="532">
        <v>8.6999999999999993</v>
      </c>
      <c r="R23" s="532">
        <v>8.6999999999999993</v>
      </c>
      <c r="S23" s="532">
        <v>8.6999999999999993</v>
      </c>
      <c r="T23" s="532">
        <v>8.6999999999999993</v>
      </c>
      <c r="U23" s="532">
        <v>8.6999999999999993</v>
      </c>
    </row>
    <row r="24" spans="1:21" s="480" customFormat="1" ht="12.75" customHeight="1">
      <c r="A24" s="515"/>
      <c r="B24" s="490"/>
      <c r="C24" s="2129" t="s">
        <v>1144</v>
      </c>
      <c r="D24" s="2129"/>
      <c r="E24" s="374">
        <v>10</v>
      </c>
      <c r="F24" s="374">
        <v>10</v>
      </c>
      <c r="G24" s="374">
        <v>10</v>
      </c>
      <c r="H24" s="374">
        <v>10</v>
      </c>
      <c r="I24" s="374">
        <v>10</v>
      </c>
      <c r="J24" s="374">
        <v>10</v>
      </c>
      <c r="K24" s="374">
        <v>10</v>
      </c>
      <c r="L24" s="374">
        <v>10</v>
      </c>
      <c r="M24" s="374">
        <v>10</v>
      </c>
      <c r="N24" s="374">
        <v>8.25</v>
      </c>
      <c r="O24" s="374">
        <v>9.25</v>
      </c>
      <c r="P24" s="374">
        <v>9.25</v>
      </c>
      <c r="Q24" s="374">
        <v>9.4499999999999993</v>
      </c>
      <c r="R24" s="374">
        <v>9.4499999999999993</v>
      </c>
      <c r="S24" s="374">
        <v>9.4499999999999993</v>
      </c>
      <c r="T24" s="374">
        <v>9.4499999999999993</v>
      </c>
      <c r="U24" s="374">
        <v>9.4499999999999993</v>
      </c>
    </row>
    <row r="25" spans="1:21" s="480" customFormat="1" ht="12.75" customHeight="1">
      <c r="A25" s="516"/>
      <c r="B25" s="218"/>
      <c r="C25" s="2145" t="s">
        <v>1145</v>
      </c>
      <c r="D25" s="2145"/>
      <c r="E25" s="532">
        <v>11</v>
      </c>
      <c r="F25" s="532">
        <v>11</v>
      </c>
      <c r="G25" s="532">
        <v>11</v>
      </c>
      <c r="H25" s="532">
        <v>11</v>
      </c>
      <c r="I25" s="532">
        <v>11</v>
      </c>
      <c r="J25" s="532">
        <v>11</v>
      </c>
      <c r="K25" s="532">
        <v>11</v>
      </c>
      <c r="L25" s="532">
        <v>11</v>
      </c>
      <c r="M25" s="532">
        <v>11</v>
      </c>
      <c r="N25" s="532">
        <v>9</v>
      </c>
      <c r="O25" s="532">
        <v>10</v>
      </c>
      <c r="P25" s="532">
        <v>10</v>
      </c>
      <c r="Q25" s="532">
        <v>10.199999999999999</v>
      </c>
      <c r="R25" s="532">
        <v>10.199999999999999</v>
      </c>
      <c r="S25" s="532">
        <v>10.199999999999999</v>
      </c>
      <c r="T25" s="532">
        <v>10.199999999999999</v>
      </c>
      <c r="U25" s="532">
        <v>10.199999999999999</v>
      </c>
    </row>
    <row r="26" spans="1:21" s="480" customFormat="1" ht="12.75" customHeight="1">
      <c r="A26" s="515"/>
      <c r="B26" s="490"/>
      <c r="C26" s="2160" t="s">
        <v>1146</v>
      </c>
      <c r="D26" s="2160"/>
      <c r="E26" s="372">
        <v>12</v>
      </c>
      <c r="F26" s="372">
        <v>12</v>
      </c>
      <c r="G26" s="372">
        <v>12</v>
      </c>
      <c r="H26" s="372">
        <v>12</v>
      </c>
      <c r="I26" s="372">
        <v>12</v>
      </c>
      <c r="J26" s="372">
        <v>12</v>
      </c>
      <c r="K26" s="372">
        <v>12</v>
      </c>
      <c r="L26" s="372">
        <v>12</v>
      </c>
      <c r="M26" s="372">
        <v>12</v>
      </c>
      <c r="N26" s="372">
        <v>10.5</v>
      </c>
      <c r="O26" s="372">
        <v>11</v>
      </c>
      <c r="P26" s="372">
        <v>11</v>
      </c>
      <c r="Q26" s="372">
        <v>11.2</v>
      </c>
      <c r="R26" s="372">
        <v>11.2</v>
      </c>
      <c r="S26" s="372">
        <v>11.2</v>
      </c>
      <c r="T26" s="372">
        <v>11.2</v>
      </c>
      <c r="U26" s="372">
        <v>11.2</v>
      </c>
    </row>
    <row r="27" spans="1:21" s="486" customFormat="1" ht="12.75" customHeight="1">
      <c r="A27" s="516"/>
      <c r="B27" s="219"/>
      <c r="C27" s="2161" t="s">
        <v>1147</v>
      </c>
      <c r="D27" s="2161"/>
      <c r="E27" s="36">
        <v>12</v>
      </c>
      <c r="F27" s="36">
        <v>12</v>
      </c>
      <c r="G27" s="36">
        <v>12</v>
      </c>
      <c r="H27" s="36">
        <v>12</v>
      </c>
      <c r="I27" s="36">
        <v>12</v>
      </c>
      <c r="J27" s="36">
        <v>12</v>
      </c>
      <c r="K27" s="36">
        <v>12</v>
      </c>
      <c r="L27" s="36">
        <v>12</v>
      </c>
      <c r="M27" s="36">
        <v>12</v>
      </c>
      <c r="N27" s="36">
        <v>10.5</v>
      </c>
      <c r="O27" s="36" t="s">
        <v>1425</v>
      </c>
      <c r="P27" s="1158" t="s">
        <v>1425</v>
      </c>
      <c r="Q27" s="1158" t="s">
        <v>1426</v>
      </c>
      <c r="R27" s="1158" t="s">
        <v>1426</v>
      </c>
      <c r="S27" s="1158" t="s">
        <v>1426</v>
      </c>
      <c r="T27" s="1158" t="s">
        <v>1426</v>
      </c>
      <c r="U27" s="1158" t="s">
        <v>1426</v>
      </c>
    </row>
    <row r="28" spans="1:21" s="480" customFormat="1">
      <c r="A28" s="2159" t="s">
        <v>1790</v>
      </c>
      <c r="B28" s="2159"/>
      <c r="C28" s="2159"/>
      <c r="D28" s="2159"/>
      <c r="E28" s="487"/>
      <c r="F28" s="487"/>
      <c r="G28" s="487"/>
      <c r="H28" s="487"/>
      <c r="I28" s="487"/>
      <c r="J28" s="487"/>
      <c r="K28" s="487"/>
      <c r="L28" s="487"/>
      <c r="M28" s="489"/>
      <c r="N28" s="489"/>
      <c r="O28" s="489"/>
      <c r="P28" s="489"/>
      <c r="Q28" s="489"/>
      <c r="R28" s="489"/>
      <c r="S28" s="489"/>
      <c r="T28" s="489"/>
      <c r="U28" s="489"/>
    </row>
    <row r="29" spans="1:21" s="480" customFormat="1" ht="12.75" customHeight="1">
      <c r="A29" s="514"/>
      <c r="B29" s="483"/>
      <c r="C29" s="2144" t="s">
        <v>1152</v>
      </c>
      <c r="D29" s="2144"/>
      <c r="E29" s="482" t="s">
        <v>789</v>
      </c>
      <c r="F29" s="482" t="s">
        <v>789</v>
      </c>
      <c r="G29" s="482" t="s">
        <v>789</v>
      </c>
      <c r="H29" s="482" t="s">
        <v>1139</v>
      </c>
      <c r="I29" s="520" t="s">
        <v>1139</v>
      </c>
      <c r="J29" s="520" t="s">
        <v>1139</v>
      </c>
      <c r="K29" s="520" t="s">
        <v>1139</v>
      </c>
      <c r="L29" s="520" t="s">
        <v>1139</v>
      </c>
      <c r="M29" s="520" t="s">
        <v>1139</v>
      </c>
      <c r="N29" s="520" t="s">
        <v>1139</v>
      </c>
      <c r="O29" s="520" t="s">
        <v>1139</v>
      </c>
      <c r="P29" s="520" t="s">
        <v>1139</v>
      </c>
      <c r="Q29" s="520" t="s">
        <v>1139</v>
      </c>
      <c r="R29" s="520" t="s">
        <v>1139</v>
      </c>
      <c r="S29" s="520" t="s">
        <v>1139</v>
      </c>
      <c r="T29" s="520" t="s">
        <v>1139</v>
      </c>
      <c r="U29" s="520" t="s">
        <v>1139</v>
      </c>
    </row>
    <row r="30" spans="1:21" s="480" customFormat="1" ht="12.75" customHeight="1">
      <c r="A30" s="513"/>
      <c r="B30" s="488"/>
      <c r="C30" s="2129" t="s">
        <v>1153</v>
      </c>
      <c r="D30" s="2129"/>
      <c r="E30" s="393" t="s">
        <v>789</v>
      </c>
      <c r="F30" s="393" t="s">
        <v>789</v>
      </c>
      <c r="G30" s="393" t="s">
        <v>789</v>
      </c>
      <c r="H30" s="393">
        <v>6.5</v>
      </c>
      <c r="I30" s="374">
        <v>6.5</v>
      </c>
      <c r="J30" s="374">
        <v>6.5</v>
      </c>
      <c r="K30" s="374">
        <v>6.5</v>
      </c>
      <c r="L30" s="374">
        <v>6.5</v>
      </c>
      <c r="M30" s="374">
        <v>6.5</v>
      </c>
      <c r="N30" s="374">
        <v>6.5</v>
      </c>
      <c r="O30" s="374">
        <v>6.5</v>
      </c>
      <c r="P30" s="374">
        <v>6.5</v>
      </c>
      <c r="Q30" s="374">
        <v>6.5</v>
      </c>
      <c r="R30" s="374">
        <v>6.5</v>
      </c>
      <c r="S30" s="374">
        <v>6.5</v>
      </c>
      <c r="T30" s="374">
        <v>6.5</v>
      </c>
      <c r="U30" s="374">
        <v>6.5</v>
      </c>
    </row>
    <row r="31" spans="1:21" s="480" customFormat="1" ht="12.75" customHeight="1">
      <c r="A31" s="514"/>
      <c r="B31" s="483"/>
      <c r="C31" s="2145" t="s">
        <v>1154</v>
      </c>
      <c r="D31" s="2145"/>
      <c r="E31" s="319" t="s">
        <v>789</v>
      </c>
      <c r="F31" s="319" t="s">
        <v>789</v>
      </c>
      <c r="G31" s="319" t="s">
        <v>789</v>
      </c>
      <c r="H31" s="319">
        <v>7</v>
      </c>
      <c r="I31" s="532">
        <v>7</v>
      </c>
      <c r="J31" s="532">
        <v>7</v>
      </c>
      <c r="K31" s="532">
        <v>7</v>
      </c>
      <c r="L31" s="532">
        <v>7</v>
      </c>
      <c r="M31" s="532">
        <v>7</v>
      </c>
      <c r="N31" s="532">
        <v>7</v>
      </c>
      <c r="O31" s="532">
        <v>7</v>
      </c>
      <c r="P31" s="532">
        <v>7</v>
      </c>
      <c r="Q31" s="532">
        <v>7</v>
      </c>
      <c r="R31" s="532">
        <v>7</v>
      </c>
      <c r="S31" s="532">
        <v>7</v>
      </c>
      <c r="T31" s="532">
        <v>7</v>
      </c>
      <c r="U31" s="532">
        <v>7</v>
      </c>
    </row>
    <row r="32" spans="1:21" s="480" customFormat="1" ht="12" customHeight="1">
      <c r="A32" s="513"/>
      <c r="B32" s="488"/>
      <c r="C32" s="2146" t="s">
        <v>1167</v>
      </c>
      <c r="D32" s="2146"/>
      <c r="E32" s="393" t="s">
        <v>789</v>
      </c>
      <c r="F32" s="393" t="s">
        <v>789</v>
      </c>
      <c r="G32" s="393" t="s">
        <v>789</v>
      </c>
      <c r="H32" s="393">
        <v>7.5</v>
      </c>
      <c r="I32" s="374">
        <v>7.5</v>
      </c>
      <c r="J32" s="374">
        <v>7.5</v>
      </c>
      <c r="K32" s="374">
        <v>7.5</v>
      </c>
      <c r="L32" s="374">
        <v>7.5</v>
      </c>
      <c r="M32" s="374">
        <v>7.5</v>
      </c>
      <c r="N32" s="374">
        <v>7.5</v>
      </c>
      <c r="O32" s="374">
        <v>7.5</v>
      </c>
      <c r="P32" s="374">
        <v>7.5</v>
      </c>
      <c r="Q32" s="374">
        <v>7.5</v>
      </c>
      <c r="R32" s="374">
        <v>7.5</v>
      </c>
      <c r="S32" s="374">
        <v>7.5</v>
      </c>
      <c r="T32" s="374">
        <v>7.5</v>
      </c>
      <c r="U32" s="374">
        <v>7.5</v>
      </c>
    </row>
    <row r="33" spans="1:21" s="218" customFormat="1">
      <c r="A33" s="2150" t="s">
        <v>1791</v>
      </c>
      <c r="B33" s="2150"/>
      <c r="C33" s="2150"/>
      <c r="D33" s="2150"/>
      <c r="I33" s="519"/>
      <c r="J33" s="519"/>
      <c r="K33" s="519"/>
      <c r="L33" s="519"/>
      <c r="M33" s="519"/>
      <c r="N33" s="519"/>
      <c r="O33" s="519"/>
      <c r="P33" s="519"/>
      <c r="Q33" s="519"/>
      <c r="R33" s="519"/>
      <c r="S33" s="519"/>
      <c r="T33" s="519"/>
      <c r="U33" s="519"/>
    </row>
    <row r="34" spans="1:21" s="218" customFormat="1" ht="12.75" customHeight="1">
      <c r="A34" s="517"/>
      <c r="B34" s="490"/>
      <c r="C34" s="2146" t="s">
        <v>1152</v>
      </c>
      <c r="D34" s="2146"/>
      <c r="E34" s="487" t="s">
        <v>789</v>
      </c>
      <c r="F34" s="487" t="s">
        <v>789</v>
      </c>
      <c r="G34" s="487" t="s">
        <v>789</v>
      </c>
      <c r="H34" s="487" t="s">
        <v>1140</v>
      </c>
      <c r="I34" s="509" t="s">
        <v>1140</v>
      </c>
      <c r="J34" s="509" t="s">
        <v>1140</v>
      </c>
      <c r="K34" s="509" t="s">
        <v>1140</v>
      </c>
      <c r="L34" s="509" t="s">
        <v>1140</v>
      </c>
      <c r="M34" s="509" t="s">
        <v>1140</v>
      </c>
      <c r="N34" s="509" t="s">
        <v>1140</v>
      </c>
      <c r="O34" s="509" t="s">
        <v>1140</v>
      </c>
      <c r="P34" s="509" t="s">
        <v>1140</v>
      </c>
      <c r="Q34" s="509" t="s">
        <v>1140</v>
      </c>
      <c r="R34" s="509" t="s">
        <v>1140</v>
      </c>
      <c r="S34" s="509" t="s">
        <v>1140</v>
      </c>
      <c r="T34" s="509" t="s">
        <v>1140</v>
      </c>
      <c r="U34" s="509" t="s">
        <v>1140</v>
      </c>
    </row>
    <row r="35" spans="1:21" s="218" customFormat="1" ht="12.75" customHeight="1">
      <c r="A35" s="521"/>
      <c r="C35" s="2145" t="s">
        <v>1153</v>
      </c>
      <c r="D35" s="2145"/>
      <c r="E35" s="319" t="s">
        <v>789</v>
      </c>
      <c r="F35" s="319" t="s">
        <v>789</v>
      </c>
      <c r="G35" s="319" t="s">
        <v>789</v>
      </c>
      <c r="H35" s="319">
        <v>5.5</v>
      </c>
      <c r="I35" s="532">
        <v>5.5</v>
      </c>
      <c r="J35" s="532">
        <v>5.5</v>
      </c>
      <c r="K35" s="532">
        <v>5.5</v>
      </c>
      <c r="L35" s="532">
        <v>5.5</v>
      </c>
      <c r="M35" s="532">
        <v>5.5</v>
      </c>
      <c r="N35" s="532">
        <v>5.5</v>
      </c>
      <c r="O35" s="532">
        <v>5.5</v>
      </c>
      <c r="P35" s="532">
        <v>5.5</v>
      </c>
      <c r="Q35" s="532">
        <v>5.5</v>
      </c>
      <c r="R35" s="532">
        <v>5.5</v>
      </c>
      <c r="S35" s="532">
        <v>5.5</v>
      </c>
      <c r="T35" s="532">
        <v>5.5</v>
      </c>
      <c r="U35" s="532">
        <v>5.5</v>
      </c>
    </row>
    <row r="36" spans="1:21" s="218" customFormat="1" ht="12.75" customHeight="1">
      <c r="A36" s="517"/>
      <c r="B36" s="490"/>
      <c r="C36" s="2129" t="s">
        <v>1154</v>
      </c>
      <c r="D36" s="2129"/>
      <c r="E36" s="393" t="s">
        <v>789</v>
      </c>
      <c r="F36" s="393" t="s">
        <v>789</v>
      </c>
      <c r="G36" s="393" t="s">
        <v>789</v>
      </c>
      <c r="H36" s="393">
        <v>6</v>
      </c>
      <c r="I36" s="374">
        <v>6</v>
      </c>
      <c r="J36" s="374">
        <v>6</v>
      </c>
      <c r="K36" s="374">
        <v>6</v>
      </c>
      <c r="L36" s="374">
        <v>6</v>
      </c>
      <c r="M36" s="374">
        <v>6</v>
      </c>
      <c r="N36" s="374">
        <v>6</v>
      </c>
      <c r="O36" s="374">
        <v>6</v>
      </c>
      <c r="P36" s="374">
        <v>6</v>
      </c>
      <c r="Q36" s="374">
        <v>6</v>
      </c>
      <c r="R36" s="374">
        <v>6</v>
      </c>
      <c r="S36" s="374">
        <v>6</v>
      </c>
      <c r="T36" s="374">
        <v>6</v>
      </c>
      <c r="U36" s="374">
        <v>6</v>
      </c>
    </row>
    <row r="37" spans="1:21" s="218" customFormat="1" ht="12.75" customHeight="1">
      <c r="A37" s="521"/>
      <c r="C37" s="2152" t="s">
        <v>1167</v>
      </c>
      <c r="D37" s="2152"/>
      <c r="E37" s="319" t="s">
        <v>789</v>
      </c>
      <c r="F37" s="319" t="s">
        <v>789</v>
      </c>
      <c r="G37" s="319" t="s">
        <v>789</v>
      </c>
      <c r="H37" s="319">
        <v>6.5</v>
      </c>
      <c r="I37" s="532">
        <v>6.5</v>
      </c>
      <c r="J37" s="532">
        <v>6.5</v>
      </c>
      <c r="K37" s="532">
        <v>6.5</v>
      </c>
      <c r="L37" s="532">
        <v>6.5</v>
      </c>
      <c r="M37" s="532">
        <v>6.5</v>
      </c>
      <c r="N37" s="532">
        <v>6.5</v>
      </c>
      <c r="O37" s="532">
        <v>6.5</v>
      </c>
      <c r="P37" s="532">
        <v>6.5</v>
      </c>
      <c r="Q37" s="532">
        <v>6.5</v>
      </c>
      <c r="R37" s="532">
        <v>6.5</v>
      </c>
      <c r="S37" s="532">
        <v>6.5</v>
      </c>
      <c r="T37" s="532">
        <v>6.5</v>
      </c>
      <c r="U37" s="532">
        <v>6.5</v>
      </c>
    </row>
    <row r="38" spans="1:21" s="218" customFormat="1" ht="22.5" customHeight="1">
      <c r="A38" s="524" t="s">
        <v>86</v>
      </c>
      <c r="B38" s="2148" t="s">
        <v>1177</v>
      </c>
      <c r="C38" s="2148"/>
      <c r="D38" s="2148"/>
      <c r="E38" s="523"/>
      <c r="F38" s="523"/>
      <c r="G38" s="523"/>
      <c r="H38" s="523"/>
      <c r="I38" s="523"/>
      <c r="J38" s="523"/>
      <c r="K38" s="523"/>
      <c r="L38" s="523"/>
      <c r="M38" s="525"/>
      <c r="N38" s="525"/>
      <c r="O38" s="525"/>
      <c r="P38" s="525"/>
      <c r="Q38" s="525"/>
      <c r="R38" s="525"/>
      <c r="S38" s="525"/>
      <c r="T38" s="525"/>
      <c r="U38" s="525"/>
    </row>
    <row r="39" spans="1:21" s="218" customFormat="1" ht="13.5" customHeight="1">
      <c r="A39" s="514"/>
      <c r="B39" s="2151" t="s">
        <v>1149</v>
      </c>
      <c r="C39" s="2151"/>
      <c r="D39" s="2151"/>
      <c r="E39" s="482"/>
      <c r="F39" s="482"/>
      <c r="G39" s="482"/>
      <c r="H39" s="482"/>
      <c r="I39" s="482"/>
      <c r="J39" s="482"/>
      <c r="K39" s="482"/>
      <c r="L39" s="482"/>
      <c r="M39" s="484"/>
      <c r="N39" s="484"/>
      <c r="O39" s="484"/>
      <c r="P39" s="484"/>
      <c r="Q39" s="484"/>
      <c r="R39" s="484"/>
      <c r="S39" s="484"/>
      <c r="T39" s="484"/>
      <c r="U39" s="484"/>
    </row>
    <row r="40" spans="1:21" s="218" customFormat="1" ht="13.5" customHeight="1">
      <c r="A40" s="513"/>
      <c r="B40" s="488"/>
      <c r="C40" s="2149" t="s">
        <v>421</v>
      </c>
      <c r="D40" s="2149"/>
      <c r="E40" s="393">
        <v>13</v>
      </c>
      <c r="F40" s="393">
        <v>13</v>
      </c>
      <c r="G40" s="393">
        <v>13</v>
      </c>
      <c r="H40" s="393">
        <v>13</v>
      </c>
      <c r="I40" s="393">
        <v>13</v>
      </c>
      <c r="J40" s="393">
        <v>13</v>
      </c>
      <c r="K40" s="393">
        <v>13</v>
      </c>
      <c r="L40" s="393">
        <v>12</v>
      </c>
      <c r="M40" s="364">
        <v>12</v>
      </c>
      <c r="N40" s="364">
        <v>12</v>
      </c>
      <c r="O40" s="364">
        <v>12</v>
      </c>
      <c r="P40" s="364">
        <v>12</v>
      </c>
      <c r="Q40" s="364">
        <v>12</v>
      </c>
      <c r="R40" s="364">
        <v>12</v>
      </c>
      <c r="S40" s="364">
        <v>12</v>
      </c>
      <c r="T40" s="364">
        <v>12</v>
      </c>
      <c r="U40" s="364">
        <v>12</v>
      </c>
    </row>
    <row r="41" spans="1:21" s="218" customFormat="1" ht="13.5" customHeight="1">
      <c r="A41" s="514"/>
      <c r="B41" s="483"/>
      <c r="C41" s="2147" t="s">
        <v>420</v>
      </c>
      <c r="D41" s="2147"/>
      <c r="E41" s="319">
        <v>15</v>
      </c>
      <c r="F41" s="319">
        <v>15</v>
      </c>
      <c r="G41" s="319">
        <v>15</v>
      </c>
      <c r="H41" s="319">
        <v>15</v>
      </c>
      <c r="I41" s="319">
        <v>15</v>
      </c>
      <c r="J41" s="319">
        <v>15</v>
      </c>
      <c r="K41" s="319">
        <v>15</v>
      </c>
      <c r="L41" s="319">
        <v>12</v>
      </c>
      <c r="M41" s="298">
        <v>12</v>
      </c>
      <c r="N41" s="298">
        <v>12</v>
      </c>
      <c r="O41" s="298">
        <v>12</v>
      </c>
      <c r="P41" s="298">
        <v>12</v>
      </c>
      <c r="Q41" s="298">
        <v>12</v>
      </c>
      <c r="R41" s="298">
        <v>12</v>
      </c>
      <c r="S41" s="298">
        <v>12</v>
      </c>
      <c r="T41" s="298">
        <v>12</v>
      </c>
      <c r="U41" s="298">
        <v>12</v>
      </c>
    </row>
    <row r="42" spans="1:21" s="218" customFormat="1" ht="13.5" customHeight="1" thickBot="1">
      <c r="A42" s="526"/>
      <c r="B42" s="2143" t="s">
        <v>1150</v>
      </c>
      <c r="C42" s="2143"/>
      <c r="D42" s="2143"/>
      <c r="E42" s="421">
        <v>10</v>
      </c>
      <c r="F42" s="421">
        <v>10</v>
      </c>
      <c r="G42" s="421">
        <v>10</v>
      </c>
      <c r="H42" s="421">
        <v>10</v>
      </c>
      <c r="I42" s="421">
        <v>10</v>
      </c>
      <c r="J42" s="421">
        <v>10</v>
      </c>
      <c r="K42" s="421">
        <v>10</v>
      </c>
      <c r="L42" s="421">
        <v>10</v>
      </c>
      <c r="M42" s="590">
        <v>10</v>
      </c>
      <c r="N42" s="590">
        <v>10</v>
      </c>
      <c r="O42" s="590">
        <v>10</v>
      </c>
      <c r="P42" s="590">
        <v>10</v>
      </c>
      <c r="Q42" s="590">
        <v>10</v>
      </c>
      <c r="R42" s="590">
        <v>10</v>
      </c>
      <c r="S42" s="590">
        <v>10</v>
      </c>
      <c r="T42" s="590">
        <v>10</v>
      </c>
      <c r="U42" s="590">
        <v>10</v>
      </c>
    </row>
    <row r="43" spans="1:21" s="219" customFormat="1" ht="10.5" customHeight="1">
      <c r="A43" s="527" t="s">
        <v>31</v>
      </c>
      <c r="B43" s="355"/>
      <c r="C43" s="2142" t="s">
        <v>1849</v>
      </c>
      <c r="D43" s="2142"/>
      <c r="E43" s="592"/>
      <c r="F43" s="592"/>
      <c r="G43" s="592"/>
      <c r="K43" s="531" t="s">
        <v>1851</v>
      </c>
      <c r="L43" s="354"/>
      <c r="M43" s="529"/>
      <c r="N43" s="485"/>
      <c r="O43" s="485"/>
      <c r="P43" s="485"/>
      <c r="Q43" s="485"/>
      <c r="R43" s="485"/>
      <c r="S43" s="485"/>
      <c r="T43" s="485"/>
      <c r="U43" s="485"/>
    </row>
    <row r="44" spans="1:21" s="354" customFormat="1" ht="9.75" customHeight="1">
      <c r="A44" s="527"/>
      <c r="B44" s="355"/>
      <c r="C44" s="2142" t="s">
        <v>1792</v>
      </c>
      <c r="D44" s="2142"/>
      <c r="E44" s="2142"/>
      <c r="F44" s="2142"/>
      <c r="G44" s="2142"/>
      <c r="K44" s="531" t="s">
        <v>1852</v>
      </c>
      <c r="L44" s="172"/>
      <c r="M44" s="172"/>
      <c r="N44" s="529"/>
    </row>
    <row r="45" spans="1:21" s="354" customFormat="1" ht="9.75" customHeight="1">
      <c r="A45" s="528"/>
      <c r="B45" s="355"/>
      <c r="C45" s="2142" t="s">
        <v>1850</v>
      </c>
      <c r="D45" s="2142"/>
      <c r="E45" s="529"/>
      <c r="F45" s="529"/>
      <c r="G45" s="529"/>
      <c r="K45" s="531" t="s">
        <v>1853</v>
      </c>
    </row>
    <row r="46" spans="1:21" s="354" customFormat="1" ht="9.75" customHeight="1">
      <c r="A46" s="528"/>
      <c r="B46" s="355"/>
      <c r="C46" s="172" t="s">
        <v>631</v>
      </c>
      <c r="F46" s="529"/>
      <c r="G46" s="529"/>
      <c r="H46" s="529"/>
      <c r="K46" s="531" t="s">
        <v>1854</v>
      </c>
    </row>
    <row r="47" spans="1:21" s="14" customFormat="1" ht="9.75" customHeight="1">
      <c r="A47" s="813"/>
      <c r="F47" s="172"/>
      <c r="G47" s="172"/>
      <c r="H47" s="172"/>
      <c r="K47" s="531" t="s">
        <v>1855</v>
      </c>
    </row>
    <row r="48" spans="1:21" s="14" customFormat="1" ht="9.75" customHeight="1">
      <c r="A48" s="530"/>
      <c r="D48" s="172"/>
      <c r="E48" s="172"/>
      <c r="F48" s="172"/>
      <c r="G48" s="172"/>
      <c r="H48" s="172"/>
    </row>
    <row r="54" spans="2:8">
      <c r="B54" s="500"/>
      <c r="C54" s="503"/>
      <c r="D54" s="504"/>
      <c r="E54" s="498"/>
      <c r="F54" s="499"/>
      <c r="G54" s="498"/>
      <c r="H54" s="498"/>
    </row>
    <row r="55" spans="2:8">
      <c r="B55" s="505"/>
      <c r="C55" s="503"/>
      <c r="D55" s="506"/>
      <c r="E55" s="498"/>
      <c r="F55" s="499"/>
      <c r="G55" s="507"/>
      <c r="H55" s="507"/>
    </row>
    <row r="56" spans="2:8">
      <c r="B56" s="508"/>
      <c r="C56" s="508"/>
      <c r="D56" s="502"/>
      <c r="E56" s="508"/>
      <c r="F56" s="508"/>
      <c r="G56" s="508"/>
      <c r="H56" s="508"/>
    </row>
    <row r="57" spans="2:8">
      <c r="B57" s="501"/>
      <c r="C57" s="508"/>
      <c r="D57" s="502"/>
      <c r="E57" s="508"/>
      <c r="F57" s="508"/>
      <c r="G57" s="508"/>
      <c r="H57" s="508"/>
    </row>
  </sheetData>
  <mergeCells count="46">
    <mergeCell ref="C24:D24"/>
    <mergeCell ref="C25:D25"/>
    <mergeCell ref="C26:D26"/>
    <mergeCell ref="C27:D27"/>
    <mergeCell ref="B7:D7"/>
    <mergeCell ref="C45:D45"/>
    <mergeCell ref="B39:D39"/>
    <mergeCell ref="C37:D37"/>
    <mergeCell ref="B4:D4"/>
    <mergeCell ref="C9:D9"/>
    <mergeCell ref="C10:D10"/>
    <mergeCell ref="B18:D18"/>
    <mergeCell ref="C32:D32"/>
    <mergeCell ref="B17:D17"/>
    <mergeCell ref="B5:D5"/>
    <mergeCell ref="C13:D13"/>
    <mergeCell ref="C23:D23"/>
    <mergeCell ref="C14:D14"/>
    <mergeCell ref="C15:D15"/>
    <mergeCell ref="A28:D28"/>
    <mergeCell ref="B8:D8"/>
    <mergeCell ref="C44:G44"/>
    <mergeCell ref="B42:D42"/>
    <mergeCell ref="C29:D29"/>
    <mergeCell ref="C30:D30"/>
    <mergeCell ref="C31:D31"/>
    <mergeCell ref="C36:D36"/>
    <mergeCell ref="C34:D34"/>
    <mergeCell ref="C35:D35"/>
    <mergeCell ref="C41:D41"/>
    <mergeCell ref="B38:D38"/>
    <mergeCell ref="C43:D43"/>
    <mergeCell ref="C40:D40"/>
    <mergeCell ref="A33:D33"/>
    <mergeCell ref="J1:R1"/>
    <mergeCell ref="A1:I1"/>
    <mergeCell ref="S1:U1"/>
    <mergeCell ref="C22:D22"/>
    <mergeCell ref="A6:D6"/>
    <mergeCell ref="A2:D3"/>
    <mergeCell ref="B19:D19"/>
    <mergeCell ref="C11:D11"/>
    <mergeCell ref="B12:D12"/>
    <mergeCell ref="A16:D16"/>
    <mergeCell ref="A21:D21"/>
    <mergeCell ref="B20:D20"/>
  </mergeCells>
  <phoneticPr fontId="0" type="noConversion"/>
  <pageMargins left="0.511811023622047" right="0.511811023622047" top="0.511811023622047" bottom="0.511811023622047" header="0" footer="0.43307086614173201"/>
  <pageSetup paperSize="448" firstPageNumber="64" orientation="portrait" useFirstPageNumber="1" r:id="rId1"/>
  <headerFooter alignWithMargins="0">
    <oddFooter>&amp;C&amp;"Times New Roman,Regular"&amp;8&amp;P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BL50"/>
  <sheetViews>
    <sheetView zoomScale="110" zoomScaleNormal="110" workbookViewId="0"/>
  </sheetViews>
  <sheetFormatPr defaultColWidth="9.140625" defaultRowHeight="11.25"/>
  <cols>
    <col min="1" max="1" width="3" style="8" customWidth="1"/>
    <col min="2" max="2" width="16.28515625" style="14" customWidth="1"/>
    <col min="3" max="3" width="7.7109375" style="8" customWidth="1"/>
    <col min="4" max="4" width="7.28515625" style="8" customWidth="1"/>
    <col min="5" max="5" width="7.140625" style="8" customWidth="1"/>
    <col min="6" max="7" width="7.42578125" style="8" customWidth="1"/>
    <col min="8" max="8" width="6.7109375" style="8" customWidth="1"/>
    <col min="9" max="9" width="7.28515625" style="8" customWidth="1"/>
    <col min="10" max="10" width="7.140625" style="8" customWidth="1"/>
    <col min="11" max="11" width="6.85546875" style="8" customWidth="1"/>
    <col min="12" max="12" width="7.42578125" style="8" customWidth="1"/>
    <col min="13" max="13" width="6.5703125" style="8" customWidth="1"/>
    <col min="14" max="14" width="7.28515625" style="8" customWidth="1"/>
    <col min="15" max="15" width="7.42578125" style="8" customWidth="1"/>
    <col min="16" max="17" width="7.5703125" style="8" customWidth="1"/>
    <col min="18" max="18" width="8" style="8" customWidth="1"/>
    <col min="19" max="19" width="3.28515625" style="8" customWidth="1"/>
    <col min="20" max="20" width="15.85546875" style="14" customWidth="1"/>
    <col min="21" max="21" width="4.140625" style="8" customWidth="1"/>
    <col min="22" max="22" width="15.5703125" style="14" customWidth="1"/>
    <col min="23" max="23" width="10.42578125" style="8" customWidth="1"/>
    <col min="24" max="24" width="8.42578125" style="8" customWidth="1"/>
    <col min="25" max="25" width="10.42578125" style="8" customWidth="1"/>
    <col min="26" max="26" width="9.85546875" style="8" customWidth="1"/>
    <col min="27" max="28" width="9.7109375" style="8" customWidth="1"/>
    <col min="29" max="29" width="11.140625" style="8" customWidth="1"/>
    <col min="30" max="30" width="9.28515625" style="8" customWidth="1"/>
    <col min="31" max="31" width="11.85546875" style="8" customWidth="1"/>
    <col min="32" max="32" width="10.140625" style="8" customWidth="1"/>
    <col min="33" max="33" width="9.42578125" style="8" customWidth="1"/>
    <col min="34" max="34" width="9" style="8" customWidth="1"/>
    <col min="35" max="35" width="4" style="8" customWidth="1"/>
    <col min="36" max="36" width="15.140625" style="14" customWidth="1"/>
    <col min="37" max="37" width="4" style="8" customWidth="1"/>
    <col min="38" max="38" width="16.5703125" style="14" customWidth="1"/>
    <col min="39" max="39" width="10" style="8" customWidth="1"/>
    <col min="40" max="40" width="9.28515625" style="8" customWidth="1"/>
    <col min="41" max="41" width="9.5703125" style="8" customWidth="1"/>
    <col min="42" max="42" width="9.85546875" style="8" customWidth="1"/>
    <col min="43" max="44" width="8.7109375" style="8" customWidth="1"/>
    <col min="45" max="45" width="11.7109375" style="8" customWidth="1"/>
    <col min="46" max="46" width="10.7109375" style="8" customWidth="1"/>
    <col min="47" max="47" width="9.5703125" style="8" customWidth="1"/>
    <col min="48" max="48" width="9.28515625" style="8" customWidth="1"/>
    <col min="49" max="49" width="9.7109375" style="8" customWidth="1"/>
    <col min="50" max="50" width="9.85546875" style="8" customWidth="1"/>
    <col min="51" max="51" width="3" style="8" customWidth="1"/>
    <col min="52" max="52" width="16.140625" style="14" customWidth="1"/>
    <col min="53" max="53" width="3" style="8" customWidth="1"/>
    <col min="54" max="54" width="16" style="14" customWidth="1"/>
    <col min="55" max="55" width="13.5703125" style="8" customWidth="1"/>
    <col min="56" max="56" width="13.85546875" style="8" customWidth="1"/>
    <col min="57" max="57" width="15.42578125" style="8" customWidth="1"/>
    <col min="58" max="58" width="14.42578125" style="8" customWidth="1"/>
    <col min="59" max="59" width="16.140625" style="8" customWidth="1"/>
    <col min="60" max="60" width="14.85546875" style="8" customWidth="1"/>
    <col min="61" max="61" width="14.7109375" style="8" customWidth="1"/>
    <col min="62" max="62" width="13.42578125" style="8" customWidth="1"/>
    <col min="63" max="63" width="3" style="8" customWidth="1"/>
    <col min="64" max="64" width="16" style="14" customWidth="1"/>
    <col min="65" max="16384" width="9.140625" style="8"/>
  </cols>
  <sheetData>
    <row r="1" spans="1:64" s="2" customFormat="1" ht="13.5" customHeight="1">
      <c r="A1" s="2" t="s">
        <v>2520</v>
      </c>
      <c r="B1" s="1757" t="s">
        <v>1091</v>
      </c>
      <c r="C1" s="1757"/>
      <c r="D1" s="1757"/>
      <c r="E1" s="1757"/>
      <c r="F1" s="1757"/>
      <c r="G1" s="1757"/>
      <c r="H1" s="1757"/>
      <c r="I1" s="1757"/>
      <c r="J1" s="1757"/>
      <c r="K1" s="2165" t="s">
        <v>2663</v>
      </c>
      <c r="L1" s="2165"/>
      <c r="M1" s="2165"/>
      <c r="N1" s="2165"/>
      <c r="O1" s="2165"/>
      <c r="P1" s="2165"/>
      <c r="Q1" s="2165"/>
      <c r="R1" s="1603"/>
      <c r="S1" s="2166" t="s">
        <v>1452</v>
      </c>
      <c r="T1" s="2166"/>
      <c r="U1" s="1757" t="s">
        <v>2573</v>
      </c>
      <c r="V1" s="1757"/>
      <c r="W1" s="1757"/>
      <c r="X1" s="1757"/>
      <c r="Y1" s="1757"/>
      <c r="Z1" s="1757"/>
      <c r="AA1" s="1757"/>
      <c r="AB1" s="1757"/>
      <c r="AC1" s="1757" t="s">
        <v>2663</v>
      </c>
      <c r="AD1" s="1757"/>
      <c r="AE1" s="1757"/>
      <c r="AF1" s="1757"/>
      <c r="AG1" s="1757"/>
      <c r="AH1" s="1605"/>
      <c r="AI1" s="2166" t="s">
        <v>1452</v>
      </c>
      <c r="AJ1" s="2166"/>
      <c r="AK1" s="2162" t="s">
        <v>2574</v>
      </c>
      <c r="AL1" s="2162"/>
      <c r="AM1" s="2162"/>
      <c r="AN1" s="2162"/>
      <c r="AO1" s="2162"/>
      <c r="AP1" s="2162"/>
      <c r="AQ1" s="2162"/>
      <c r="AR1" s="2162"/>
      <c r="AS1" s="2163" t="s">
        <v>2664</v>
      </c>
      <c r="AT1" s="2163"/>
      <c r="AU1" s="2163"/>
      <c r="AV1" s="2163"/>
      <c r="AW1" s="2163"/>
      <c r="AX1" s="2163"/>
      <c r="AY1" s="2164" t="s">
        <v>1452</v>
      </c>
      <c r="AZ1" s="2164"/>
      <c r="BB1" s="1612"/>
      <c r="BC1" s="1757" t="s">
        <v>1091</v>
      </c>
      <c r="BD1" s="1757"/>
      <c r="BE1" s="1757"/>
      <c r="BF1" s="1757"/>
      <c r="BG1" s="2165" t="s">
        <v>2665</v>
      </c>
      <c r="BH1" s="2165"/>
      <c r="BI1" s="2165"/>
      <c r="BJ1" s="2165"/>
      <c r="BK1" s="2166" t="s">
        <v>1453</v>
      </c>
      <c r="BL1" s="2166"/>
    </row>
    <row r="2" spans="1:64" ht="11.25" customHeight="1">
      <c r="C2" s="1613"/>
      <c r="D2" s="1613"/>
      <c r="E2" s="1613"/>
      <c r="F2" s="1613"/>
      <c r="G2" s="1613"/>
      <c r="H2" s="1613"/>
      <c r="I2" s="1613"/>
      <c r="J2" s="1613"/>
      <c r="K2" s="1613"/>
      <c r="L2" s="2167"/>
      <c r="M2" s="2167"/>
      <c r="N2" s="1081"/>
      <c r="O2" s="1081"/>
      <c r="P2" s="1081"/>
      <c r="Q2" s="1081"/>
      <c r="S2" s="1614"/>
      <c r="T2" s="1615" t="s">
        <v>690</v>
      </c>
      <c r="Y2" s="2168"/>
      <c r="Z2" s="2168"/>
      <c r="AA2" s="1616"/>
      <c r="AB2" s="1616"/>
      <c r="AC2" s="1616"/>
      <c r="AD2" s="1616"/>
      <c r="AE2" s="1616"/>
      <c r="AF2" s="1616"/>
      <c r="AG2" s="1081"/>
      <c r="AI2" s="1614"/>
      <c r="AJ2" s="1615" t="s">
        <v>690</v>
      </c>
      <c r="AK2" s="1614"/>
      <c r="AL2" s="1615"/>
      <c r="AM2" s="1613"/>
      <c r="AN2" s="1613"/>
      <c r="AO2" s="1214"/>
      <c r="AP2" s="1616"/>
      <c r="AQ2" s="1616"/>
      <c r="AR2" s="1616"/>
      <c r="AS2" s="1616"/>
      <c r="AT2" s="1616"/>
      <c r="AU2" s="1616"/>
      <c r="AV2" s="1081"/>
      <c r="AW2" s="1081"/>
      <c r="AX2" s="1081"/>
      <c r="AY2" s="1614"/>
      <c r="AZ2" s="1615" t="s">
        <v>690</v>
      </c>
      <c r="BC2" s="1613"/>
      <c r="BD2" s="1613"/>
      <c r="BE2" s="2169"/>
      <c r="BF2" s="2169"/>
      <c r="BG2" s="2167"/>
      <c r="BH2" s="2167"/>
      <c r="BI2" s="2167"/>
      <c r="BJ2" s="1081"/>
      <c r="BK2" s="1614"/>
      <c r="BL2" s="1615" t="s">
        <v>690</v>
      </c>
    </row>
    <row r="3" spans="1:64" s="1604" customFormat="1" ht="13.5" customHeight="1">
      <c r="A3" s="2170" t="s">
        <v>166</v>
      </c>
      <c r="B3" s="2171"/>
      <c r="C3" s="2176" t="s">
        <v>99</v>
      </c>
      <c r="D3" s="2177"/>
      <c r="E3" s="2177"/>
      <c r="F3" s="2177"/>
      <c r="G3" s="2177"/>
      <c r="H3" s="2178"/>
      <c r="I3" s="2176" t="s">
        <v>167</v>
      </c>
      <c r="J3" s="2177"/>
      <c r="K3" s="1611"/>
      <c r="L3" s="2176" t="s">
        <v>168</v>
      </c>
      <c r="M3" s="2177"/>
      <c r="N3" s="2177"/>
      <c r="O3" s="2177"/>
      <c r="P3" s="2177"/>
      <c r="Q3" s="2177"/>
      <c r="R3" s="2178"/>
      <c r="S3" s="2170" t="s">
        <v>166</v>
      </c>
      <c r="T3" s="2171"/>
      <c r="U3" s="2170" t="s">
        <v>166</v>
      </c>
      <c r="V3" s="2171"/>
      <c r="W3" s="2176" t="s">
        <v>806</v>
      </c>
      <c r="X3" s="2177"/>
      <c r="Y3" s="2177"/>
      <c r="Z3" s="2177"/>
      <c r="AA3" s="2177"/>
      <c r="AB3" s="2177"/>
      <c r="AC3" s="2177"/>
      <c r="AD3" s="2177"/>
      <c r="AE3" s="2177"/>
      <c r="AF3" s="2177"/>
      <c r="AG3" s="2177"/>
      <c r="AH3" s="2178"/>
      <c r="AI3" s="2170" t="s">
        <v>166</v>
      </c>
      <c r="AJ3" s="2171"/>
      <c r="AK3" s="2181" t="s">
        <v>166</v>
      </c>
      <c r="AL3" s="2182"/>
      <c r="AM3" s="2177" t="s">
        <v>806</v>
      </c>
      <c r="AN3" s="2177"/>
      <c r="AO3" s="2177"/>
      <c r="AP3" s="2177"/>
      <c r="AQ3" s="2177"/>
      <c r="AR3" s="2177"/>
      <c r="AS3" s="2177"/>
      <c r="AT3" s="2177"/>
      <c r="AU3" s="2177"/>
      <c r="AV3" s="2177"/>
      <c r="AW3" s="2177"/>
      <c r="AX3" s="2178"/>
      <c r="AY3" s="2170" t="s">
        <v>166</v>
      </c>
      <c r="AZ3" s="2171"/>
      <c r="BA3" s="2170" t="s">
        <v>166</v>
      </c>
      <c r="BB3" s="2171"/>
      <c r="BC3" s="2176" t="s">
        <v>807</v>
      </c>
      <c r="BD3" s="2177"/>
      <c r="BE3" s="2177"/>
      <c r="BF3" s="2177"/>
      <c r="BG3" s="2177"/>
      <c r="BH3" s="2177"/>
      <c r="BI3" s="2177"/>
      <c r="BJ3" s="2178"/>
      <c r="BK3" s="2170" t="s">
        <v>166</v>
      </c>
      <c r="BL3" s="2171"/>
    </row>
    <row r="4" spans="1:64" s="318" customFormat="1" ht="24" customHeight="1">
      <c r="A4" s="2172"/>
      <c r="B4" s="2173"/>
      <c r="C4" s="1606" t="s">
        <v>1939</v>
      </c>
      <c r="D4" s="1606" t="s">
        <v>1940</v>
      </c>
      <c r="E4" s="1606" t="s">
        <v>1941</v>
      </c>
      <c r="F4" s="1606" t="s">
        <v>1942</v>
      </c>
      <c r="G4" s="1606" t="s">
        <v>1943</v>
      </c>
      <c r="H4" s="1606" t="s">
        <v>638</v>
      </c>
      <c r="I4" s="1606" t="s">
        <v>1758</v>
      </c>
      <c r="J4" s="1608" t="s">
        <v>169</v>
      </c>
      <c r="K4" s="1606" t="s">
        <v>2532</v>
      </c>
      <c r="L4" s="1607" t="s">
        <v>1944</v>
      </c>
      <c r="M4" s="1606" t="s">
        <v>170</v>
      </c>
      <c r="N4" s="1606" t="s">
        <v>1945</v>
      </c>
      <c r="O4" s="1606" t="s">
        <v>1946</v>
      </c>
      <c r="P4" s="1606" t="s">
        <v>1947</v>
      </c>
      <c r="Q4" s="1606" t="s">
        <v>1948</v>
      </c>
      <c r="R4" s="1606" t="s">
        <v>1949</v>
      </c>
      <c r="S4" s="2172"/>
      <c r="T4" s="2173"/>
      <c r="U4" s="2172"/>
      <c r="V4" s="2173"/>
      <c r="W4" s="1606" t="s">
        <v>1950</v>
      </c>
      <c r="X4" s="1606" t="s">
        <v>193</v>
      </c>
      <c r="Y4" s="1606" t="s">
        <v>1951</v>
      </c>
      <c r="Z4" s="1606" t="s">
        <v>1952</v>
      </c>
      <c r="AA4" s="1606" t="s">
        <v>194</v>
      </c>
      <c r="AB4" s="1606" t="s">
        <v>1953</v>
      </c>
      <c r="AC4" s="1606" t="s">
        <v>1954</v>
      </c>
      <c r="AD4" s="1606" t="s">
        <v>1955</v>
      </c>
      <c r="AE4" s="1606" t="s">
        <v>1956</v>
      </c>
      <c r="AF4" s="1606" t="s">
        <v>2007</v>
      </c>
      <c r="AG4" s="1606" t="s">
        <v>1957</v>
      </c>
      <c r="AH4" s="1606" t="s">
        <v>1958</v>
      </c>
      <c r="AI4" s="2172"/>
      <c r="AJ4" s="2173"/>
      <c r="AK4" s="2183"/>
      <c r="AL4" s="2184"/>
      <c r="AM4" s="1617" t="s">
        <v>1959</v>
      </c>
      <c r="AN4" s="1617" t="s">
        <v>1960</v>
      </c>
      <c r="AO4" s="1617" t="s">
        <v>1961</v>
      </c>
      <c r="AP4" s="1617" t="s">
        <v>1962</v>
      </c>
      <c r="AQ4" s="1617" t="s">
        <v>1963</v>
      </c>
      <c r="AR4" s="1617" t="s">
        <v>1964</v>
      </c>
      <c r="AS4" s="1617" t="s">
        <v>1965</v>
      </c>
      <c r="AT4" s="1617" t="s">
        <v>1966</v>
      </c>
      <c r="AU4" s="1617" t="s">
        <v>195</v>
      </c>
      <c r="AV4" s="1617" t="s">
        <v>1967</v>
      </c>
      <c r="AW4" s="1617" t="s">
        <v>1968</v>
      </c>
      <c r="AX4" s="1617" t="s">
        <v>2534</v>
      </c>
      <c r="AY4" s="2172"/>
      <c r="AZ4" s="2173"/>
      <c r="BA4" s="2172"/>
      <c r="BB4" s="2173"/>
      <c r="BC4" s="1610" t="s">
        <v>1969</v>
      </c>
      <c r="BD4" s="1610" t="s">
        <v>1970</v>
      </c>
      <c r="BE4" s="1610" t="s">
        <v>1971</v>
      </c>
      <c r="BF4" s="1016" t="s">
        <v>1793</v>
      </c>
      <c r="BG4" s="1606" t="s">
        <v>1972</v>
      </c>
      <c r="BH4" s="1606" t="s">
        <v>1973</v>
      </c>
      <c r="BI4" s="1606" t="s">
        <v>196</v>
      </c>
      <c r="BJ4" s="1606" t="s">
        <v>808</v>
      </c>
      <c r="BK4" s="2172"/>
      <c r="BL4" s="2173"/>
    </row>
    <row r="5" spans="1:64" s="121" customFormat="1" ht="10.5" customHeight="1">
      <c r="A5" s="2174"/>
      <c r="B5" s="2175"/>
      <c r="C5" s="1610">
        <v>1</v>
      </c>
      <c r="D5" s="1618">
        <v>2</v>
      </c>
      <c r="E5" s="1610">
        <v>3</v>
      </c>
      <c r="F5" s="1618">
        <v>4</v>
      </c>
      <c r="G5" s="1610">
        <v>5</v>
      </c>
      <c r="H5" s="1610">
        <v>6</v>
      </c>
      <c r="I5" s="1619">
        <v>7</v>
      </c>
      <c r="J5" s="1619">
        <v>8</v>
      </c>
      <c r="K5" s="1610">
        <v>9</v>
      </c>
      <c r="L5" s="1620">
        <v>10</v>
      </c>
      <c r="M5" s="1618">
        <v>11</v>
      </c>
      <c r="N5" s="1610">
        <v>12</v>
      </c>
      <c r="O5" s="1618">
        <v>13</v>
      </c>
      <c r="P5" s="1610">
        <v>14</v>
      </c>
      <c r="Q5" s="1618">
        <v>15</v>
      </c>
      <c r="R5" s="1610">
        <v>16</v>
      </c>
      <c r="S5" s="2174"/>
      <c r="T5" s="2175"/>
      <c r="U5" s="2174"/>
      <c r="V5" s="2175"/>
      <c r="W5" s="1610">
        <v>17</v>
      </c>
      <c r="X5" s="1618">
        <v>18</v>
      </c>
      <c r="Y5" s="1610">
        <v>19</v>
      </c>
      <c r="Z5" s="1610">
        <v>20</v>
      </c>
      <c r="AA5" s="1610">
        <v>21</v>
      </c>
      <c r="AB5" s="1610">
        <v>22</v>
      </c>
      <c r="AC5" s="1618">
        <v>23</v>
      </c>
      <c r="AD5" s="1610">
        <v>24</v>
      </c>
      <c r="AE5" s="1610">
        <v>25</v>
      </c>
      <c r="AF5" s="1610">
        <v>26</v>
      </c>
      <c r="AG5" s="980">
        <v>27</v>
      </c>
      <c r="AH5" s="1610">
        <v>28</v>
      </c>
      <c r="AI5" s="2174"/>
      <c r="AJ5" s="2175"/>
      <c r="AK5" s="2185"/>
      <c r="AL5" s="2186"/>
      <c r="AM5" s="1618">
        <v>29</v>
      </c>
      <c r="AN5" s="1610">
        <v>30</v>
      </c>
      <c r="AO5" s="1618">
        <v>31</v>
      </c>
      <c r="AP5" s="1618">
        <v>32</v>
      </c>
      <c r="AQ5" s="1610">
        <v>33</v>
      </c>
      <c r="AR5" s="1618">
        <v>34</v>
      </c>
      <c r="AS5" s="1610">
        <v>35</v>
      </c>
      <c r="AT5" s="1618">
        <v>36</v>
      </c>
      <c r="AU5" s="1610">
        <v>37</v>
      </c>
      <c r="AV5" s="1610">
        <v>38</v>
      </c>
      <c r="AW5" s="1610">
        <v>39</v>
      </c>
      <c r="AX5" s="1621">
        <v>40</v>
      </c>
      <c r="AY5" s="2174"/>
      <c r="AZ5" s="2175"/>
      <c r="BA5" s="2174"/>
      <c r="BB5" s="2175"/>
      <c r="BC5" s="1620">
        <v>41</v>
      </c>
      <c r="BD5" s="1618">
        <v>42</v>
      </c>
      <c r="BE5" s="1622">
        <v>43</v>
      </c>
      <c r="BF5" s="1618">
        <v>44</v>
      </c>
      <c r="BG5" s="1620">
        <v>45</v>
      </c>
      <c r="BH5" s="1618">
        <v>46</v>
      </c>
      <c r="BI5" s="1620">
        <v>47</v>
      </c>
      <c r="BJ5" s="1618">
        <v>48</v>
      </c>
      <c r="BK5" s="2174"/>
      <c r="BL5" s="2175"/>
    </row>
    <row r="6" spans="1:64" s="1609" customFormat="1" ht="11.85" customHeight="1">
      <c r="A6" s="2179" t="s">
        <v>27</v>
      </c>
      <c r="B6" s="2179"/>
      <c r="C6" s="1000">
        <v>3.25</v>
      </c>
      <c r="D6" s="1000" t="s">
        <v>1974</v>
      </c>
      <c r="E6" s="1000">
        <v>3.5</v>
      </c>
      <c r="F6" s="1000" t="s">
        <v>1906</v>
      </c>
      <c r="G6" s="1000" t="s">
        <v>1975</v>
      </c>
      <c r="H6" s="1000">
        <v>3.5</v>
      </c>
      <c r="I6" s="1000" t="s">
        <v>1974</v>
      </c>
      <c r="J6" s="1000" t="s">
        <v>1975</v>
      </c>
      <c r="K6" s="1000" t="s">
        <v>1906</v>
      </c>
      <c r="L6" s="1020">
        <v>3</v>
      </c>
      <c r="M6" s="1000">
        <v>2.75</v>
      </c>
      <c r="N6" s="1000" t="s">
        <v>1974</v>
      </c>
      <c r="O6" s="1000">
        <v>2.5</v>
      </c>
      <c r="P6" s="1000">
        <v>2.5</v>
      </c>
      <c r="Q6" s="1000" t="s">
        <v>2615</v>
      </c>
      <c r="R6" s="1000">
        <v>2</v>
      </c>
      <c r="S6" s="2180" t="s">
        <v>27</v>
      </c>
      <c r="T6" s="2180"/>
      <c r="U6" s="2180" t="s">
        <v>27</v>
      </c>
      <c r="V6" s="2180"/>
      <c r="W6" s="1020">
        <v>2</v>
      </c>
      <c r="X6" s="1000">
        <v>2</v>
      </c>
      <c r="Y6" s="1000">
        <v>3.25</v>
      </c>
      <c r="Z6" s="1000" t="s">
        <v>2668</v>
      </c>
      <c r="AA6" s="1000" t="s">
        <v>2522</v>
      </c>
      <c r="AB6" s="1000" t="s">
        <v>2579</v>
      </c>
      <c r="AC6" s="1000" t="s">
        <v>2619</v>
      </c>
      <c r="AD6" s="1000" t="s">
        <v>2606</v>
      </c>
      <c r="AE6" s="1000" t="s">
        <v>2558</v>
      </c>
      <c r="AF6" s="1000">
        <v>3.5</v>
      </c>
      <c r="AG6" s="1000">
        <v>2</v>
      </c>
      <c r="AH6" s="1000" t="s">
        <v>2580</v>
      </c>
      <c r="AI6" s="2180" t="s">
        <v>27</v>
      </c>
      <c r="AJ6" s="2180"/>
      <c r="AK6" s="2180" t="s">
        <v>27</v>
      </c>
      <c r="AL6" s="2180"/>
      <c r="AM6" s="1000" t="s">
        <v>1906</v>
      </c>
      <c r="AN6" s="1000">
        <v>3.5</v>
      </c>
      <c r="AO6" s="1000" t="s">
        <v>2581</v>
      </c>
      <c r="AP6" s="1000" t="s">
        <v>2672</v>
      </c>
      <c r="AQ6" s="1000" t="s">
        <v>2510</v>
      </c>
      <c r="AR6" s="1000" t="s">
        <v>2550</v>
      </c>
      <c r="AS6" s="1020" t="s">
        <v>2582</v>
      </c>
      <c r="AT6" s="1000">
        <v>2.5</v>
      </c>
      <c r="AU6" s="1000">
        <v>2.5</v>
      </c>
      <c r="AV6" s="1000">
        <v>2</v>
      </c>
      <c r="AW6" s="1000" t="s">
        <v>2131</v>
      </c>
      <c r="AX6" s="1000" t="s">
        <v>2535</v>
      </c>
      <c r="AY6" s="2180" t="s">
        <v>27</v>
      </c>
      <c r="AZ6" s="2180"/>
      <c r="BA6" s="2180" t="s">
        <v>27</v>
      </c>
      <c r="BB6" s="2180"/>
      <c r="BC6" s="1000">
        <v>3</v>
      </c>
      <c r="BD6" s="1000" t="s">
        <v>2622</v>
      </c>
      <c r="BE6" s="1000" t="s">
        <v>2584</v>
      </c>
      <c r="BF6" s="1000">
        <v>3.5</v>
      </c>
      <c r="BG6" s="1000">
        <v>4.5</v>
      </c>
      <c r="BH6" s="1000">
        <v>0.1</v>
      </c>
      <c r="BI6" s="1000" t="s">
        <v>2626</v>
      </c>
      <c r="BJ6" s="1000" t="s">
        <v>2686</v>
      </c>
      <c r="BK6" s="2180" t="s">
        <v>27</v>
      </c>
      <c r="BL6" s="2180"/>
    </row>
    <row r="7" spans="1:64" ht="11.85" customHeight="1">
      <c r="A7" s="2187" t="s">
        <v>1083</v>
      </c>
      <c r="B7" s="2188"/>
      <c r="C7" s="947"/>
      <c r="D7" s="947"/>
      <c r="E7" s="947"/>
      <c r="F7" s="1623"/>
      <c r="G7" s="1623"/>
      <c r="H7" s="1623"/>
      <c r="I7" s="1623"/>
      <c r="J7" s="1623"/>
      <c r="K7" s="1623"/>
      <c r="L7" s="1623"/>
      <c r="M7" s="1623"/>
      <c r="N7" s="1623"/>
      <c r="O7" s="1623"/>
      <c r="P7" s="1623"/>
      <c r="Q7" s="1623"/>
      <c r="R7" s="1623"/>
      <c r="S7" s="2187" t="s">
        <v>1083</v>
      </c>
      <c r="T7" s="2188"/>
      <c r="U7" s="2187" t="s">
        <v>1083</v>
      </c>
      <c r="V7" s="2188"/>
      <c r="W7" s="1624"/>
      <c r="X7" s="1625"/>
      <c r="Y7" s="1625"/>
      <c r="Z7" s="1625"/>
      <c r="AA7" s="1625"/>
      <c r="AB7" s="1625"/>
      <c r="AC7" s="1625"/>
      <c r="AD7" s="1625"/>
      <c r="AE7" s="1625"/>
      <c r="AF7" s="1625"/>
      <c r="AG7" s="1625"/>
      <c r="AH7" s="1623" t="s">
        <v>1577</v>
      </c>
      <c r="AI7" s="2187" t="s">
        <v>1083</v>
      </c>
      <c r="AJ7" s="2188"/>
      <c r="AK7" s="2187" t="s">
        <v>1083</v>
      </c>
      <c r="AL7" s="2188"/>
      <c r="AM7" s="1623"/>
      <c r="AN7" s="1623"/>
      <c r="AO7" s="1623"/>
      <c r="AP7" s="1623"/>
      <c r="AQ7" s="1623"/>
      <c r="AR7" s="1623"/>
      <c r="AS7" s="1623"/>
      <c r="AT7" s="1623"/>
      <c r="AU7" s="1623"/>
      <c r="AV7" s="1623"/>
      <c r="AW7" s="1623"/>
      <c r="AX7" s="1623"/>
      <c r="AY7" s="2187" t="s">
        <v>1083</v>
      </c>
      <c r="AZ7" s="2188"/>
      <c r="BA7" s="2187" t="s">
        <v>1083</v>
      </c>
      <c r="BB7" s="2188"/>
      <c r="BC7" s="1626"/>
      <c r="BD7" s="1626"/>
      <c r="BE7" s="1623"/>
      <c r="BF7" s="1623"/>
      <c r="BG7" s="1623"/>
      <c r="BH7" s="1623"/>
      <c r="BI7" s="1623"/>
      <c r="BJ7" s="1623"/>
      <c r="BK7" s="2187" t="s">
        <v>1083</v>
      </c>
      <c r="BL7" s="2188"/>
    </row>
    <row r="8" spans="1:64" ht="11.85" customHeight="1">
      <c r="A8" s="1627" t="s">
        <v>457</v>
      </c>
      <c r="B8" s="1628" t="s">
        <v>1074</v>
      </c>
      <c r="C8" s="1000">
        <v>2.5</v>
      </c>
      <c r="D8" s="1000" t="s">
        <v>1974</v>
      </c>
      <c r="E8" s="1000">
        <v>3.25</v>
      </c>
      <c r="F8" s="1000" t="s">
        <v>1975</v>
      </c>
      <c r="G8" s="1000" t="s">
        <v>1975</v>
      </c>
      <c r="H8" s="1000" t="s">
        <v>1974</v>
      </c>
      <c r="I8" s="1000" t="s">
        <v>1975</v>
      </c>
      <c r="J8" s="1000" t="s">
        <v>1975</v>
      </c>
      <c r="K8" s="1000" t="s">
        <v>54</v>
      </c>
      <c r="L8" s="1000">
        <v>1</v>
      </c>
      <c r="M8" s="1000">
        <v>1.75</v>
      </c>
      <c r="N8" s="1000">
        <v>1</v>
      </c>
      <c r="O8" s="1000">
        <v>2</v>
      </c>
      <c r="P8" s="1000">
        <v>2.5</v>
      </c>
      <c r="Q8" s="1000">
        <v>2.5</v>
      </c>
      <c r="R8" s="1000">
        <v>2</v>
      </c>
      <c r="S8" s="1627" t="s">
        <v>457</v>
      </c>
      <c r="T8" s="1628" t="s">
        <v>1074</v>
      </c>
      <c r="U8" s="1627" t="s">
        <v>457</v>
      </c>
      <c r="V8" s="1628" t="s">
        <v>1074</v>
      </c>
      <c r="W8" s="1629" t="s">
        <v>1980</v>
      </c>
      <c r="X8" s="1629">
        <v>2</v>
      </c>
      <c r="Y8" s="1629">
        <v>2</v>
      </c>
      <c r="Z8" s="1629">
        <v>1.5</v>
      </c>
      <c r="AA8" s="1629" t="s">
        <v>1977</v>
      </c>
      <c r="AB8" s="1629">
        <v>0.5</v>
      </c>
      <c r="AC8" s="1629">
        <v>1</v>
      </c>
      <c r="AD8" s="1629">
        <v>2</v>
      </c>
      <c r="AE8" s="1629">
        <v>3.5</v>
      </c>
      <c r="AF8" s="1629">
        <v>3.5</v>
      </c>
      <c r="AG8" s="1629">
        <v>1</v>
      </c>
      <c r="AH8" s="1630">
        <v>2</v>
      </c>
      <c r="AI8" s="1627" t="s">
        <v>457</v>
      </c>
      <c r="AJ8" s="1628" t="s">
        <v>1074</v>
      </c>
      <c r="AK8" s="1627" t="s">
        <v>457</v>
      </c>
      <c r="AL8" s="1628" t="s">
        <v>1074</v>
      </c>
      <c r="AM8" s="1630">
        <v>2</v>
      </c>
      <c r="AN8" s="1630">
        <v>0.75</v>
      </c>
      <c r="AO8" s="1630">
        <v>0.5</v>
      </c>
      <c r="AP8" s="1630">
        <v>6</v>
      </c>
      <c r="AQ8" s="1630">
        <v>2.5</v>
      </c>
      <c r="AR8" s="1630">
        <v>2.5</v>
      </c>
      <c r="AS8" s="1630" t="s">
        <v>1979</v>
      </c>
      <c r="AT8" s="1630">
        <v>1.25</v>
      </c>
      <c r="AU8" s="1630">
        <v>1</v>
      </c>
      <c r="AV8" s="1630">
        <v>1</v>
      </c>
      <c r="AW8" s="1630">
        <v>2</v>
      </c>
      <c r="AX8" s="1630">
        <v>2</v>
      </c>
      <c r="AY8" s="1627" t="s">
        <v>457</v>
      </c>
      <c r="AZ8" s="1628" t="s">
        <v>1074</v>
      </c>
      <c r="BA8" s="1627" t="s">
        <v>457</v>
      </c>
      <c r="BB8" s="1628" t="s">
        <v>1074</v>
      </c>
      <c r="BC8" s="1630">
        <v>1</v>
      </c>
      <c r="BD8" s="1630">
        <v>0.05</v>
      </c>
      <c r="BE8" s="1630" t="s">
        <v>1980</v>
      </c>
      <c r="BF8" s="1630">
        <v>4</v>
      </c>
      <c r="BG8" s="1630">
        <v>0.2</v>
      </c>
      <c r="BH8" s="1630" t="s">
        <v>1981</v>
      </c>
      <c r="BI8" s="1630">
        <v>1</v>
      </c>
      <c r="BJ8" s="1630">
        <v>0.05</v>
      </c>
      <c r="BK8" s="1627" t="s">
        <v>457</v>
      </c>
      <c r="BL8" s="1628" t="s">
        <v>1074</v>
      </c>
    </row>
    <row r="9" spans="1:64" ht="11.85" customHeight="1">
      <c r="A9" s="1631" t="s">
        <v>653</v>
      </c>
      <c r="B9" s="1632" t="s">
        <v>1075</v>
      </c>
      <c r="C9" s="947">
        <v>3</v>
      </c>
      <c r="D9" s="947" t="s">
        <v>1974</v>
      </c>
      <c r="E9" s="947">
        <v>3.25</v>
      </c>
      <c r="F9" s="1623" t="s">
        <v>1975</v>
      </c>
      <c r="G9" s="1623" t="s">
        <v>1975</v>
      </c>
      <c r="H9" s="1623" t="s">
        <v>1974</v>
      </c>
      <c r="I9" s="1623" t="s">
        <v>1975</v>
      </c>
      <c r="J9" s="1623" t="s">
        <v>1975</v>
      </c>
      <c r="K9" s="1623" t="s">
        <v>54</v>
      </c>
      <c r="L9" s="1623">
        <v>3</v>
      </c>
      <c r="M9" s="1623">
        <v>2</v>
      </c>
      <c r="N9" s="1623">
        <v>1.75</v>
      </c>
      <c r="O9" s="1623">
        <v>2.5</v>
      </c>
      <c r="P9" s="1623">
        <v>2.5</v>
      </c>
      <c r="Q9" s="1623">
        <v>3</v>
      </c>
      <c r="R9" s="1623">
        <v>2.25</v>
      </c>
      <c r="S9" s="1631" t="s">
        <v>653</v>
      </c>
      <c r="T9" s="1632" t="s">
        <v>1075</v>
      </c>
      <c r="U9" s="1631" t="s">
        <v>653</v>
      </c>
      <c r="V9" s="1632" t="s">
        <v>1075</v>
      </c>
      <c r="W9" s="1625" t="s">
        <v>1979</v>
      </c>
      <c r="X9" s="1625">
        <v>2</v>
      </c>
      <c r="Y9" s="1625">
        <v>2.25</v>
      </c>
      <c r="Z9" s="1625">
        <v>1.75</v>
      </c>
      <c r="AA9" s="1625" t="s">
        <v>1976</v>
      </c>
      <c r="AB9" s="1625">
        <v>1</v>
      </c>
      <c r="AC9" s="1625">
        <v>2</v>
      </c>
      <c r="AD9" s="1625">
        <v>2</v>
      </c>
      <c r="AE9" s="1625">
        <v>3.5</v>
      </c>
      <c r="AF9" s="1625">
        <v>3.5</v>
      </c>
      <c r="AG9" s="1625">
        <v>1.5</v>
      </c>
      <c r="AH9" s="1623">
        <v>2.5</v>
      </c>
      <c r="AI9" s="1631" t="s">
        <v>653</v>
      </c>
      <c r="AJ9" s="1632" t="s">
        <v>1075</v>
      </c>
      <c r="AK9" s="1631" t="s">
        <v>653</v>
      </c>
      <c r="AL9" s="1632" t="s">
        <v>1075</v>
      </c>
      <c r="AM9" s="1623">
        <v>2.5</v>
      </c>
      <c r="AN9" s="1623">
        <v>0.75</v>
      </c>
      <c r="AO9" s="1623">
        <v>1</v>
      </c>
      <c r="AP9" s="1623">
        <v>6</v>
      </c>
      <c r="AQ9" s="1623">
        <v>3.25</v>
      </c>
      <c r="AR9" s="1623">
        <v>3.5</v>
      </c>
      <c r="AS9" s="1623">
        <v>2.5</v>
      </c>
      <c r="AT9" s="1623">
        <v>1.5</v>
      </c>
      <c r="AU9" s="1623">
        <v>1</v>
      </c>
      <c r="AV9" s="1623">
        <v>1.5</v>
      </c>
      <c r="AW9" s="1623">
        <v>2</v>
      </c>
      <c r="AX9" s="1623">
        <v>2.25</v>
      </c>
      <c r="AY9" s="1631" t="s">
        <v>653</v>
      </c>
      <c r="AZ9" s="1632" t="s">
        <v>1075</v>
      </c>
      <c r="BA9" s="1631" t="s">
        <v>653</v>
      </c>
      <c r="BB9" s="1632" t="s">
        <v>1075</v>
      </c>
      <c r="BC9" s="1623">
        <v>1</v>
      </c>
      <c r="BD9" s="1623">
        <v>0.05</v>
      </c>
      <c r="BE9" s="1623">
        <v>4</v>
      </c>
      <c r="BF9" s="1623">
        <v>4</v>
      </c>
      <c r="BG9" s="1623">
        <v>0.3</v>
      </c>
      <c r="BH9" s="1623">
        <v>0.05</v>
      </c>
      <c r="BI9" s="1623">
        <v>1</v>
      </c>
      <c r="BJ9" s="1623">
        <v>0.05</v>
      </c>
      <c r="BK9" s="1631" t="s">
        <v>653</v>
      </c>
      <c r="BL9" s="1632" t="s">
        <v>1075</v>
      </c>
    </row>
    <row r="10" spans="1:64" ht="11.85" customHeight="1">
      <c r="A10" s="1627" t="s">
        <v>434</v>
      </c>
      <c r="B10" s="1628" t="s">
        <v>1076</v>
      </c>
      <c r="C10" s="1000">
        <v>3.25</v>
      </c>
      <c r="D10" s="1000" t="s">
        <v>1974</v>
      </c>
      <c r="E10" s="1000">
        <v>3.5</v>
      </c>
      <c r="F10" s="1630" t="s">
        <v>1975</v>
      </c>
      <c r="G10" s="1630" t="s">
        <v>1975</v>
      </c>
      <c r="H10" s="1630" t="s">
        <v>1974</v>
      </c>
      <c r="I10" s="1630" t="s">
        <v>1975</v>
      </c>
      <c r="J10" s="1630" t="s">
        <v>1975</v>
      </c>
      <c r="K10" s="1630" t="s">
        <v>54</v>
      </c>
      <c r="L10" s="1630">
        <v>3</v>
      </c>
      <c r="M10" s="1630">
        <v>2.25</v>
      </c>
      <c r="N10" s="1630">
        <v>2.75</v>
      </c>
      <c r="O10" s="1630">
        <v>3</v>
      </c>
      <c r="P10" s="1630">
        <v>3.5</v>
      </c>
      <c r="Q10" s="1630">
        <v>3.5</v>
      </c>
      <c r="R10" s="1630">
        <v>2.5</v>
      </c>
      <c r="S10" s="1627" t="s">
        <v>434</v>
      </c>
      <c r="T10" s="1628" t="s">
        <v>1076</v>
      </c>
      <c r="U10" s="1627" t="s">
        <v>434</v>
      </c>
      <c r="V10" s="1628" t="s">
        <v>1076</v>
      </c>
      <c r="W10" s="1629">
        <v>2</v>
      </c>
      <c r="X10" s="1629">
        <v>2</v>
      </c>
      <c r="Y10" s="1629">
        <v>2.5</v>
      </c>
      <c r="Z10" s="1629">
        <v>2</v>
      </c>
      <c r="AA10" s="1629" t="s">
        <v>1976</v>
      </c>
      <c r="AB10" s="1629">
        <v>2</v>
      </c>
      <c r="AC10" s="1629">
        <v>2.5</v>
      </c>
      <c r="AD10" s="1629">
        <v>2</v>
      </c>
      <c r="AE10" s="1629">
        <v>3.5</v>
      </c>
      <c r="AF10" s="1629">
        <v>3.75</v>
      </c>
      <c r="AG10" s="1629">
        <v>2.5</v>
      </c>
      <c r="AH10" s="1630">
        <v>4</v>
      </c>
      <c r="AI10" s="1627" t="s">
        <v>434</v>
      </c>
      <c r="AJ10" s="1628" t="s">
        <v>1076</v>
      </c>
      <c r="AK10" s="1627" t="s">
        <v>434</v>
      </c>
      <c r="AL10" s="1628" t="s">
        <v>1076</v>
      </c>
      <c r="AM10" s="1630">
        <v>2.75</v>
      </c>
      <c r="AN10" s="1630">
        <v>0.75</v>
      </c>
      <c r="AO10" s="1630">
        <v>1.5</v>
      </c>
      <c r="AP10" s="1630">
        <v>6</v>
      </c>
      <c r="AQ10" s="1630">
        <v>3.25</v>
      </c>
      <c r="AR10" s="1630">
        <v>4</v>
      </c>
      <c r="AS10" s="1630">
        <v>2.5</v>
      </c>
      <c r="AT10" s="1630">
        <v>1.75</v>
      </c>
      <c r="AU10" s="1630">
        <v>2</v>
      </c>
      <c r="AV10" s="1630">
        <v>2</v>
      </c>
      <c r="AW10" s="1630">
        <v>2</v>
      </c>
      <c r="AX10" s="1630">
        <v>2.5</v>
      </c>
      <c r="AY10" s="1627" t="s">
        <v>434</v>
      </c>
      <c r="AZ10" s="1628" t="s">
        <v>1076</v>
      </c>
      <c r="BA10" s="1627" t="s">
        <v>434</v>
      </c>
      <c r="BB10" s="1628" t="s">
        <v>1076</v>
      </c>
      <c r="BC10" s="1630">
        <v>1.25</v>
      </c>
      <c r="BD10" s="1630">
        <v>0.1</v>
      </c>
      <c r="BE10" s="1630">
        <v>4</v>
      </c>
      <c r="BF10" s="1630">
        <v>4</v>
      </c>
      <c r="BG10" s="1630">
        <v>0.4</v>
      </c>
      <c r="BH10" s="1630">
        <v>0.05</v>
      </c>
      <c r="BI10" s="1630">
        <v>1</v>
      </c>
      <c r="BJ10" s="1630">
        <v>0.01</v>
      </c>
      <c r="BK10" s="1627" t="s">
        <v>434</v>
      </c>
      <c r="BL10" s="1628" t="s">
        <v>1076</v>
      </c>
    </row>
    <row r="11" spans="1:64" ht="11.85" customHeight="1">
      <c r="A11" s="1631" t="s">
        <v>435</v>
      </c>
      <c r="B11" s="1632" t="s">
        <v>1077</v>
      </c>
      <c r="C11" s="947">
        <v>3.5</v>
      </c>
      <c r="D11" s="947" t="s">
        <v>1978</v>
      </c>
      <c r="E11" s="947" t="s">
        <v>1978</v>
      </c>
      <c r="F11" s="1623" t="s">
        <v>1975</v>
      </c>
      <c r="G11" s="1623" t="s">
        <v>1975</v>
      </c>
      <c r="H11" s="1623" t="s">
        <v>1974</v>
      </c>
      <c r="I11" s="1623" t="s">
        <v>1975</v>
      </c>
      <c r="J11" s="1623" t="s">
        <v>1975</v>
      </c>
      <c r="K11" s="1623" t="s">
        <v>54</v>
      </c>
      <c r="L11" s="1623">
        <v>3</v>
      </c>
      <c r="M11" s="1623">
        <v>2.5</v>
      </c>
      <c r="N11" s="1623">
        <v>3.25</v>
      </c>
      <c r="O11" s="1623">
        <v>3.5</v>
      </c>
      <c r="P11" s="1623">
        <v>3.5</v>
      </c>
      <c r="Q11" s="1623">
        <v>4</v>
      </c>
      <c r="R11" s="1623">
        <v>2.75</v>
      </c>
      <c r="S11" s="1631" t="s">
        <v>435</v>
      </c>
      <c r="T11" s="1632" t="s">
        <v>1077</v>
      </c>
      <c r="U11" s="1631" t="s">
        <v>435</v>
      </c>
      <c r="V11" s="1632" t="s">
        <v>1077</v>
      </c>
      <c r="W11" s="1625">
        <v>2</v>
      </c>
      <c r="X11" s="1625">
        <v>2</v>
      </c>
      <c r="Y11" s="1625">
        <v>2.75</v>
      </c>
      <c r="Z11" s="1625">
        <v>2.25</v>
      </c>
      <c r="AA11" s="1625" t="s">
        <v>1976</v>
      </c>
      <c r="AB11" s="1625">
        <v>2</v>
      </c>
      <c r="AC11" s="1625">
        <v>2.5</v>
      </c>
      <c r="AD11" s="1625">
        <v>2</v>
      </c>
      <c r="AE11" s="1625">
        <v>6</v>
      </c>
      <c r="AF11" s="1625">
        <v>3.75</v>
      </c>
      <c r="AG11" s="1625">
        <v>3</v>
      </c>
      <c r="AH11" s="1623">
        <v>3</v>
      </c>
      <c r="AI11" s="1631" t="s">
        <v>435</v>
      </c>
      <c r="AJ11" s="1632" t="s">
        <v>1077</v>
      </c>
      <c r="AK11" s="1631" t="s">
        <v>435</v>
      </c>
      <c r="AL11" s="1632" t="s">
        <v>1077</v>
      </c>
      <c r="AM11" s="1623">
        <v>3</v>
      </c>
      <c r="AN11" s="1623">
        <v>0.9</v>
      </c>
      <c r="AO11" s="1623">
        <v>1.75</v>
      </c>
      <c r="AP11" s="1623">
        <v>6</v>
      </c>
      <c r="AQ11" s="1623">
        <v>4</v>
      </c>
      <c r="AR11" s="1623">
        <v>4.5</v>
      </c>
      <c r="AS11" s="1623">
        <v>3</v>
      </c>
      <c r="AT11" s="1623">
        <v>2</v>
      </c>
      <c r="AU11" s="1623">
        <v>2</v>
      </c>
      <c r="AV11" s="1623">
        <v>2.5</v>
      </c>
      <c r="AW11" s="1623">
        <v>2</v>
      </c>
      <c r="AX11" s="1623">
        <v>2.75</v>
      </c>
      <c r="AY11" s="1631" t="s">
        <v>435</v>
      </c>
      <c r="AZ11" s="1632" t="s">
        <v>1077</v>
      </c>
      <c r="BA11" s="1631" t="s">
        <v>435</v>
      </c>
      <c r="BB11" s="1632" t="s">
        <v>1077</v>
      </c>
      <c r="BC11" s="1623">
        <v>1.5</v>
      </c>
      <c r="BD11" s="1623">
        <v>0.15</v>
      </c>
      <c r="BE11" s="1623">
        <v>4</v>
      </c>
      <c r="BF11" s="1623">
        <v>4</v>
      </c>
      <c r="BG11" s="1623">
        <v>0.5</v>
      </c>
      <c r="BH11" s="1623">
        <v>0.05</v>
      </c>
      <c r="BI11" s="1623">
        <v>1</v>
      </c>
      <c r="BJ11" s="1623">
        <v>0.3</v>
      </c>
      <c r="BK11" s="1631" t="s">
        <v>435</v>
      </c>
      <c r="BL11" s="1632" t="s">
        <v>1077</v>
      </c>
    </row>
    <row r="12" spans="1:64" ht="11.85" customHeight="1">
      <c r="A12" s="1627" t="s">
        <v>455</v>
      </c>
      <c r="B12" s="1628" t="s">
        <v>1696</v>
      </c>
      <c r="C12" s="1000" t="s">
        <v>2666</v>
      </c>
      <c r="D12" s="1000" t="s">
        <v>1757</v>
      </c>
      <c r="E12" s="1000">
        <v>4</v>
      </c>
      <c r="F12" s="1630" t="s">
        <v>1975</v>
      </c>
      <c r="G12" s="1630" t="s">
        <v>1975</v>
      </c>
      <c r="H12" s="1630" t="s">
        <v>1974</v>
      </c>
      <c r="I12" s="1630" t="s">
        <v>1975</v>
      </c>
      <c r="J12" s="1630" t="s">
        <v>1975</v>
      </c>
      <c r="K12" s="1630" t="s">
        <v>54</v>
      </c>
      <c r="L12" s="1630" t="s">
        <v>2620</v>
      </c>
      <c r="M12" s="1630" t="s">
        <v>2667</v>
      </c>
      <c r="N12" s="1630" t="s">
        <v>2117</v>
      </c>
      <c r="O12" s="1630">
        <v>4</v>
      </c>
      <c r="P12" s="1630">
        <v>3.5</v>
      </c>
      <c r="Q12" s="1630">
        <v>4</v>
      </c>
      <c r="R12" s="1630">
        <v>3</v>
      </c>
      <c r="S12" s="1627" t="s">
        <v>455</v>
      </c>
      <c r="T12" s="1628" t="s">
        <v>1696</v>
      </c>
      <c r="U12" s="1627" t="s">
        <v>455</v>
      </c>
      <c r="V12" s="1628" t="s">
        <v>1696</v>
      </c>
      <c r="W12" s="1629">
        <v>2</v>
      </c>
      <c r="X12" s="1629">
        <v>2</v>
      </c>
      <c r="Y12" s="1629">
        <v>3</v>
      </c>
      <c r="Z12" s="1629">
        <v>2.5</v>
      </c>
      <c r="AA12" s="1629" t="s">
        <v>1976</v>
      </c>
      <c r="AB12" s="1629">
        <v>2.5</v>
      </c>
      <c r="AC12" s="1629">
        <v>2.5</v>
      </c>
      <c r="AD12" s="1629">
        <v>3</v>
      </c>
      <c r="AE12" s="1629" t="s">
        <v>2669</v>
      </c>
      <c r="AF12" s="1629">
        <v>4</v>
      </c>
      <c r="AG12" s="1629">
        <v>3.5</v>
      </c>
      <c r="AH12" s="1630">
        <v>3.5</v>
      </c>
      <c r="AI12" s="1627" t="s">
        <v>455</v>
      </c>
      <c r="AJ12" s="1628" t="s">
        <v>1696</v>
      </c>
      <c r="AK12" s="1627" t="s">
        <v>455</v>
      </c>
      <c r="AL12" s="1628" t="s">
        <v>1696</v>
      </c>
      <c r="AM12" s="1630">
        <v>3.5</v>
      </c>
      <c r="AN12" s="1630">
        <v>1</v>
      </c>
      <c r="AO12" s="1630">
        <v>2</v>
      </c>
      <c r="AP12" s="1633" t="s">
        <v>2673</v>
      </c>
      <c r="AQ12" s="1630">
        <v>4.25</v>
      </c>
      <c r="AR12" s="1630">
        <v>4.5</v>
      </c>
      <c r="AS12" s="1630" t="s">
        <v>2677</v>
      </c>
      <c r="AT12" s="1630">
        <v>2.5</v>
      </c>
      <c r="AU12" s="1630">
        <v>2</v>
      </c>
      <c r="AV12" s="1630">
        <v>3.5</v>
      </c>
      <c r="AW12" s="1630">
        <v>2</v>
      </c>
      <c r="AX12" s="1630">
        <v>3</v>
      </c>
      <c r="AY12" s="1627" t="s">
        <v>455</v>
      </c>
      <c r="AZ12" s="1628" t="s">
        <v>1696</v>
      </c>
      <c r="BA12" s="1627" t="s">
        <v>455</v>
      </c>
      <c r="BB12" s="1628" t="s">
        <v>1696</v>
      </c>
      <c r="BC12" s="1630">
        <v>2.5</v>
      </c>
      <c r="BD12" s="1630">
        <v>0.25</v>
      </c>
      <c r="BE12" s="1630" t="s">
        <v>2683</v>
      </c>
      <c r="BF12" s="1630">
        <v>4</v>
      </c>
      <c r="BG12" s="1630">
        <v>1</v>
      </c>
      <c r="BH12" s="1630">
        <v>0.05</v>
      </c>
      <c r="BI12" s="1630">
        <v>1</v>
      </c>
      <c r="BJ12" s="1630">
        <v>0.4</v>
      </c>
      <c r="BK12" s="1627" t="s">
        <v>455</v>
      </c>
      <c r="BL12" s="1628" t="s">
        <v>1696</v>
      </c>
    </row>
    <row r="13" spans="1:64" ht="11.85" customHeight="1">
      <c r="A13" s="2189" t="s">
        <v>28</v>
      </c>
      <c r="B13" s="2189"/>
      <c r="C13" s="1634"/>
      <c r="D13" s="1634"/>
      <c r="E13" s="1634"/>
      <c r="F13" s="1634"/>
      <c r="G13" s="1634"/>
      <c r="H13" s="1634"/>
      <c r="I13" s="1634"/>
      <c r="J13" s="1634"/>
      <c r="K13" s="1634"/>
      <c r="L13" s="1635"/>
      <c r="M13" s="1634"/>
      <c r="N13" s="1634"/>
      <c r="O13" s="1634"/>
      <c r="P13" s="1634"/>
      <c r="Q13" s="1634"/>
      <c r="R13" s="1634"/>
      <c r="S13" s="2189" t="s">
        <v>28</v>
      </c>
      <c r="T13" s="2189"/>
      <c r="U13" s="2189" t="s">
        <v>28</v>
      </c>
      <c r="V13" s="2189"/>
      <c r="W13" s="1624"/>
      <c r="X13" s="1624"/>
      <c r="Y13" s="1624"/>
      <c r="Z13" s="1624"/>
      <c r="AA13" s="1624"/>
      <c r="AB13" s="1624"/>
      <c r="AC13" s="1624"/>
      <c r="AD13" s="1624"/>
      <c r="AE13" s="1624"/>
      <c r="AF13" s="1624"/>
      <c r="AG13" s="1625"/>
      <c r="AH13" s="1626"/>
      <c r="AI13" s="2189" t="s">
        <v>28</v>
      </c>
      <c r="AJ13" s="2189"/>
      <c r="AK13" s="2189" t="s">
        <v>28</v>
      </c>
      <c r="AL13" s="2189"/>
      <c r="AM13" s="1626"/>
      <c r="AN13" s="1626"/>
      <c r="AO13" s="1626"/>
      <c r="AP13" s="1626"/>
      <c r="AQ13" s="1626"/>
      <c r="AR13" s="1626"/>
      <c r="AS13" s="1626"/>
      <c r="AT13" s="1626"/>
      <c r="AU13" s="1626"/>
      <c r="AV13" s="1626"/>
      <c r="AW13" s="1626"/>
      <c r="AX13" s="1626"/>
      <c r="AY13" s="2189" t="s">
        <v>28</v>
      </c>
      <c r="AZ13" s="2189"/>
      <c r="BA13" s="2189" t="s">
        <v>28</v>
      </c>
      <c r="BB13" s="2189"/>
      <c r="BC13" s="1626"/>
      <c r="BD13" s="1626"/>
      <c r="BE13" s="1626"/>
      <c r="BF13" s="1626"/>
      <c r="BG13" s="1626"/>
      <c r="BH13" s="1626"/>
      <c r="BI13" s="1623"/>
      <c r="BJ13" s="1623"/>
      <c r="BK13" s="2189" t="s">
        <v>28</v>
      </c>
      <c r="BL13" s="2189"/>
    </row>
    <row r="14" spans="1:64" ht="11.85" customHeight="1">
      <c r="A14" s="1627" t="s">
        <v>457</v>
      </c>
      <c r="B14" s="1628" t="s">
        <v>1078</v>
      </c>
      <c r="C14" s="1000">
        <v>5.5</v>
      </c>
      <c r="D14" s="1000" t="s">
        <v>1984</v>
      </c>
      <c r="E14" s="1633">
        <v>5.75</v>
      </c>
      <c r="F14" s="1630" t="s">
        <v>2086</v>
      </c>
      <c r="G14" s="1630" t="s">
        <v>1982</v>
      </c>
      <c r="H14" s="1630" t="s">
        <v>1983</v>
      </c>
      <c r="I14" s="1630">
        <v>6</v>
      </c>
      <c r="J14" s="1629" t="s">
        <v>2018</v>
      </c>
      <c r="K14" s="1629" t="s">
        <v>54</v>
      </c>
      <c r="L14" s="1630" t="s">
        <v>2527</v>
      </c>
      <c r="M14" s="1630">
        <v>3.75</v>
      </c>
      <c r="N14" s="1630">
        <v>5.25</v>
      </c>
      <c r="O14" s="1630">
        <v>5.5</v>
      </c>
      <c r="P14" s="1630" t="s">
        <v>2022</v>
      </c>
      <c r="Q14" s="1630" t="s">
        <v>2616</v>
      </c>
      <c r="R14" s="1633">
        <v>4</v>
      </c>
      <c r="S14" s="1627" t="s">
        <v>457</v>
      </c>
      <c r="T14" s="1628" t="s">
        <v>1078</v>
      </c>
      <c r="U14" s="1627" t="s">
        <v>457</v>
      </c>
      <c r="V14" s="1628" t="s">
        <v>1078</v>
      </c>
      <c r="W14" s="1629" t="s">
        <v>2513</v>
      </c>
      <c r="X14" s="1629">
        <v>3.75</v>
      </c>
      <c r="Y14" s="1629" t="s">
        <v>1985</v>
      </c>
      <c r="Z14" s="1629">
        <v>4</v>
      </c>
      <c r="AA14" s="1629" t="s">
        <v>1983</v>
      </c>
      <c r="AB14" s="1629">
        <v>2.25</v>
      </c>
      <c r="AC14" s="1629" t="s">
        <v>2526</v>
      </c>
      <c r="AD14" s="1629">
        <v>4.5</v>
      </c>
      <c r="AE14" s="1629" t="s">
        <v>2559</v>
      </c>
      <c r="AF14" s="1629">
        <v>5.5</v>
      </c>
      <c r="AG14" s="1629">
        <v>4.5</v>
      </c>
      <c r="AH14" s="1630">
        <v>4</v>
      </c>
      <c r="AI14" s="1627" t="s">
        <v>457</v>
      </c>
      <c r="AJ14" s="1628" t="s">
        <v>1078</v>
      </c>
      <c r="AK14" s="1627" t="s">
        <v>457</v>
      </c>
      <c r="AL14" s="1628" t="s">
        <v>1078</v>
      </c>
      <c r="AM14" s="1630">
        <v>5</v>
      </c>
      <c r="AN14" s="1630" t="s">
        <v>2620</v>
      </c>
      <c r="AO14" s="1636" t="s">
        <v>2584</v>
      </c>
      <c r="AP14" s="1629" t="s">
        <v>2674</v>
      </c>
      <c r="AQ14" s="1630" t="s">
        <v>2616</v>
      </c>
      <c r="AR14" s="1630">
        <v>5.5</v>
      </c>
      <c r="AS14" s="1630" t="s">
        <v>2516</v>
      </c>
      <c r="AT14" s="1630" t="s">
        <v>2582</v>
      </c>
      <c r="AU14" s="1630" t="s">
        <v>2523</v>
      </c>
      <c r="AV14" s="1630" t="s">
        <v>2523</v>
      </c>
      <c r="AW14" s="1630" t="s">
        <v>2523</v>
      </c>
      <c r="AX14" s="1630">
        <v>4.5</v>
      </c>
      <c r="AY14" s="1627" t="s">
        <v>457</v>
      </c>
      <c r="AZ14" s="1628" t="s">
        <v>1078</v>
      </c>
      <c r="BA14" s="1627" t="s">
        <v>457</v>
      </c>
      <c r="BB14" s="1628" t="s">
        <v>1078</v>
      </c>
      <c r="BC14" s="1630" t="s">
        <v>2560</v>
      </c>
      <c r="BD14" s="1630" t="s">
        <v>2623</v>
      </c>
      <c r="BE14" s="1630" t="s">
        <v>2512</v>
      </c>
      <c r="BF14" s="1630" t="s">
        <v>2021</v>
      </c>
      <c r="BG14" s="1630">
        <v>4</v>
      </c>
      <c r="BH14" s="1630">
        <v>0.1</v>
      </c>
      <c r="BI14" s="1630" t="s">
        <v>2684</v>
      </c>
      <c r="BJ14" s="1630" t="s">
        <v>2687</v>
      </c>
      <c r="BK14" s="1627" t="s">
        <v>457</v>
      </c>
      <c r="BL14" s="1628" t="s">
        <v>1078</v>
      </c>
    </row>
    <row r="15" spans="1:64" ht="11.85" customHeight="1">
      <c r="A15" s="1631" t="s">
        <v>653</v>
      </c>
      <c r="B15" s="1632" t="s">
        <v>1079</v>
      </c>
      <c r="C15" s="947">
        <v>5.75</v>
      </c>
      <c r="D15" s="1623" t="s">
        <v>1986</v>
      </c>
      <c r="E15" s="1623">
        <v>5.85</v>
      </c>
      <c r="F15" s="1623" t="s">
        <v>1982</v>
      </c>
      <c r="G15" s="1623" t="s">
        <v>1984</v>
      </c>
      <c r="H15" s="1623" t="s">
        <v>1983</v>
      </c>
      <c r="I15" s="1623">
        <v>6</v>
      </c>
      <c r="J15" s="1625" t="s">
        <v>1982</v>
      </c>
      <c r="K15" s="1625" t="s">
        <v>54</v>
      </c>
      <c r="L15" s="1623" t="s">
        <v>1906</v>
      </c>
      <c r="M15" s="1623">
        <v>3.75</v>
      </c>
      <c r="N15" s="1623">
        <v>5.5</v>
      </c>
      <c r="O15" s="1623">
        <v>5.5</v>
      </c>
      <c r="P15" s="1623">
        <v>6</v>
      </c>
      <c r="Q15" s="1623" t="s">
        <v>2617</v>
      </c>
      <c r="R15" s="1623">
        <v>4.25</v>
      </c>
      <c r="S15" s="1631" t="s">
        <v>653</v>
      </c>
      <c r="T15" s="1632" t="s">
        <v>1079</v>
      </c>
      <c r="U15" s="1631" t="s">
        <v>653</v>
      </c>
      <c r="V15" s="1632" t="s">
        <v>1079</v>
      </c>
      <c r="W15" s="1625" t="s">
        <v>2514</v>
      </c>
      <c r="X15" s="1625">
        <v>4</v>
      </c>
      <c r="Y15" s="1625" t="s">
        <v>2521</v>
      </c>
      <c r="Z15" s="1625">
        <v>4</v>
      </c>
      <c r="AA15" s="1625">
        <v>6</v>
      </c>
      <c r="AB15" s="1625">
        <v>2.5</v>
      </c>
      <c r="AC15" s="1625" t="s">
        <v>2527</v>
      </c>
      <c r="AD15" s="1625">
        <v>4.75</v>
      </c>
      <c r="AE15" s="1625" t="s">
        <v>2045</v>
      </c>
      <c r="AF15" s="1625">
        <v>6</v>
      </c>
      <c r="AG15" s="1625">
        <v>4.75</v>
      </c>
      <c r="AH15" s="1623">
        <v>4.25</v>
      </c>
      <c r="AI15" s="1631" t="s">
        <v>653</v>
      </c>
      <c r="AJ15" s="1632" t="s">
        <v>1079</v>
      </c>
      <c r="AK15" s="1631" t="s">
        <v>653</v>
      </c>
      <c r="AL15" s="1632" t="s">
        <v>1079</v>
      </c>
      <c r="AM15" s="1623">
        <v>5</v>
      </c>
      <c r="AN15" s="1623">
        <v>3.25</v>
      </c>
      <c r="AO15" s="1626" t="s">
        <v>2560</v>
      </c>
      <c r="AP15" s="1625" t="s">
        <v>2674</v>
      </c>
      <c r="AQ15" s="1623" t="s">
        <v>2676</v>
      </c>
      <c r="AR15" s="1623" t="s">
        <v>2130</v>
      </c>
      <c r="AS15" s="1623" t="s">
        <v>2524</v>
      </c>
      <c r="AT15" s="1623" t="s">
        <v>2582</v>
      </c>
      <c r="AU15" s="1623" t="s">
        <v>2510</v>
      </c>
      <c r="AV15" s="1623" t="s">
        <v>2523</v>
      </c>
      <c r="AW15" s="1623" t="s">
        <v>2621</v>
      </c>
      <c r="AX15" s="1623">
        <v>6</v>
      </c>
      <c r="AY15" s="1631" t="s">
        <v>653</v>
      </c>
      <c r="AZ15" s="1632" t="s">
        <v>1079</v>
      </c>
      <c r="BA15" s="1631" t="s">
        <v>653</v>
      </c>
      <c r="BB15" s="1632" t="s">
        <v>1079</v>
      </c>
      <c r="BC15" s="1623" t="s">
        <v>2679</v>
      </c>
      <c r="BD15" s="1623" t="s">
        <v>2624</v>
      </c>
      <c r="BE15" s="1623" t="s">
        <v>2512</v>
      </c>
      <c r="BF15" s="1623" t="s">
        <v>2585</v>
      </c>
      <c r="BG15" s="1623">
        <v>5</v>
      </c>
      <c r="BH15" s="1623" t="s">
        <v>2528</v>
      </c>
      <c r="BI15" s="1623" t="s">
        <v>2685</v>
      </c>
      <c r="BJ15" s="1623" t="s">
        <v>2625</v>
      </c>
      <c r="BK15" s="1631" t="s">
        <v>653</v>
      </c>
      <c r="BL15" s="1632" t="s">
        <v>1079</v>
      </c>
    </row>
    <row r="16" spans="1:64" ht="11.85" customHeight="1">
      <c r="A16" s="1627" t="s">
        <v>434</v>
      </c>
      <c r="B16" s="1628" t="s">
        <v>1080</v>
      </c>
      <c r="C16" s="1000">
        <v>6</v>
      </c>
      <c r="D16" s="1000" t="s">
        <v>1983</v>
      </c>
      <c r="E16" s="1630">
        <v>6</v>
      </c>
      <c r="F16" s="1630" t="s">
        <v>2022</v>
      </c>
      <c r="G16" s="1630" t="s">
        <v>1983</v>
      </c>
      <c r="H16" s="1630" t="s">
        <v>1983</v>
      </c>
      <c r="I16" s="1630" t="s">
        <v>1983</v>
      </c>
      <c r="J16" s="1629" t="s">
        <v>1998</v>
      </c>
      <c r="K16" s="1629" t="s">
        <v>2533</v>
      </c>
      <c r="L16" s="1630" t="s">
        <v>2117</v>
      </c>
      <c r="M16" s="1630">
        <v>4</v>
      </c>
      <c r="N16" s="1630">
        <v>6</v>
      </c>
      <c r="O16" s="1630">
        <v>5.5</v>
      </c>
      <c r="P16" s="1630">
        <v>6</v>
      </c>
      <c r="Q16" s="1630" t="s">
        <v>2516</v>
      </c>
      <c r="R16" s="1630">
        <v>4.25</v>
      </c>
      <c r="S16" s="1627" t="s">
        <v>434</v>
      </c>
      <c r="T16" s="1628" t="s">
        <v>1080</v>
      </c>
      <c r="U16" s="1627" t="s">
        <v>434</v>
      </c>
      <c r="V16" s="1628" t="s">
        <v>1080</v>
      </c>
      <c r="W16" s="1629" t="s">
        <v>2515</v>
      </c>
      <c r="X16" s="1629">
        <v>4.25</v>
      </c>
      <c r="Y16" s="1629" t="s">
        <v>2098</v>
      </c>
      <c r="Z16" s="1629">
        <v>4</v>
      </c>
      <c r="AA16" s="1629">
        <v>6</v>
      </c>
      <c r="AB16" s="1629">
        <v>3</v>
      </c>
      <c r="AC16" s="1629" t="s">
        <v>1906</v>
      </c>
      <c r="AD16" s="1629">
        <v>5</v>
      </c>
      <c r="AE16" s="1629" t="s">
        <v>2045</v>
      </c>
      <c r="AF16" s="1629">
        <v>6.5</v>
      </c>
      <c r="AG16" s="1629">
        <v>5</v>
      </c>
      <c r="AH16" s="1630">
        <v>4.5</v>
      </c>
      <c r="AI16" s="1627" t="s">
        <v>434</v>
      </c>
      <c r="AJ16" s="1628" t="s">
        <v>1080</v>
      </c>
      <c r="AK16" s="1627" t="s">
        <v>434</v>
      </c>
      <c r="AL16" s="1628" t="s">
        <v>1080</v>
      </c>
      <c r="AM16" s="1630">
        <v>5</v>
      </c>
      <c r="AN16" s="1630">
        <v>3.75</v>
      </c>
      <c r="AO16" s="1636" t="s">
        <v>2670</v>
      </c>
      <c r="AP16" s="1629" t="s">
        <v>2675</v>
      </c>
      <c r="AQ16" s="1630" t="s">
        <v>2098</v>
      </c>
      <c r="AR16" s="1630">
        <v>5.5</v>
      </c>
      <c r="AS16" s="1630" t="s">
        <v>2525</v>
      </c>
      <c r="AT16" s="1630" t="s">
        <v>2678</v>
      </c>
      <c r="AU16" s="1630" t="s">
        <v>2510</v>
      </c>
      <c r="AV16" s="1630" t="s">
        <v>2523</v>
      </c>
      <c r="AW16" s="1630" t="s">
        <v>2511</v>
      </c>
      <c r="AX16" s="1630">
        <v>6</v>
      </c>
      <c r="AY16" s="1627" t="s">
        <v>434</v>
      </c>
      <c r="AZ16" s="1628" t="s">
        <v>1080</v>
      </c>
      <c r="BA16" s="1627" t="s">
        <v>434</v>
      </c>
      <c r="BB16" s="1628" t="s">
        <v>1080</v>
      </c>
      <c r="BC16" s="1636" t="s">
        <v>2680</v>
      </c>
      <c r="BD16" s="1636" t="s">
        <v>2625</v>
      </c>
      <c r="BE16" s="1630" t="s">
        <v>2512</v>
      </c>
      <c r="BF16" s="1630" t="s">
        <v>2022</v>
      </c>
      <c r="BG16" s="1630">
        <v>6.5</v>
      </c>
      <c r="BH16" s="1630">
        <v>0.5</v>
      </c>
      <c r="BI16" s="1630" t="s">
        <v>2584</v>
      </c>
      <c r="BJ16" s="1630" t="s">
        <v>2688</v>
      </c>
      <c r="BK16" s="1627" t="s">
        <v>434</v>
      </c>
      <c r="BL16" s="1628" t="s">
        <v>1080</v>
      </c>
    </row>
    <row r="17" spans="1:64" ht="11.85" customHeight="1">
      <c r="A17" s="1631" t="s">
        <v>435</v>
      </c>
      <c r="B17" s="1632" t="s">
        <v>1081</v>
      </c>
      <c r="C17" s="947" t="s">
        <v>1983</v>
      </c>
      <c r="D17" s="1637" t="s">
        <v>54</v>
      </c>
      <c r="E17" s="1623" t="s">
        <v>54</v>
      </c>
      <c r="F17" s="1623" t="s">
        <v>2022</v>
      </c>
      <c r="G17" s="1623" t="s">
        <v>1983</v>
      </c>
      <c r="H17" s="1623" t="s">
        <v>54</v>
      </c>
      <c r="I17" s="1623" t="s">
        <v>54</v>
      </c>
      <c r="J17" s="1625" t="s">
        <v>1387</v>
      </c>
      <c r="K17" s="1625" t="s">
        <v>54</v>
      </c>
      <c r="L17" s="1623">
        <v>4</v>
      </c>
      <c r="M17" s="1623">
        <v>4.5</v>
      </c>
      <c r="N17" s="1623">
        <v>6</v>
      </c>
      <c r="O17" s="1623">
        <v>5.5</v>
      </c>
      <c r="P17" s="1623">
        <v>6</v>
      </c>
      <c r="Q17" s="1623" t="s">
        <v>2516</v>
      </c>
      <c r="R17" s="1623">
        <v>4.25</v>
      </c>
      <c r="S17" s="1631" t="s">
        <v>435</v>
      </c>
      <c r="T17" s="1632" t="s">
        <v>1081</v>
      </c>
      <c r="U17" s="1631" t="s">
        <v>435</v>
      </c>
      <c r="V17" s="1632" t="s">
        <v>1081</v>
      </c>
      <c r="W17" s="1625" t="s">
        <v>2515</v>
      </c>
      <c r="X17" s="1625">
        <v>5</v>
      </c>
      <c r="Y17" s="1625">
        <v>4.5</v>
      </c>
      <c r="Z17" s="1625">
        <v>4</v>
      </c>
      <c r="AA17" s="1625" t="s">
        <v>54</v>
      </c>
      <c r="AB17" s="1625">
        <v>3.25</v>
      </c>
      <c r="AC17" s="1625" t="s">
        <v>1906</v>
      </c>
      <c r="AD17" s="1625" t="s">
        <v>54</v>
      </c>
      <c r="AE17" s="1625" t="s">
        <v>2045</v>
      </c>
      <c r="AF17" s="1625" t="s">
        <v>54</v>
      </c>
      <c r="AG17" s="1625">
        <v>5</v>
      </c>
      <c r="AH17" s="1623">
        <v>4.5</v>
      </c>
      <c r="AI17" s="1631" t="s">
        <v>435</v>
      </c>
      <c r="AJ17" s="1632" t="s">
        <v>1081</v>
      </c>
      <c r="AK17" s="1631" t="s">
        <v>435</v>
      </c>
      <c r="AL17" s="1632" t="s">
        <v>1081</v>
      </c>
      <c r="AM17" s="1623">
        <v>5.5</v>
      </c>
      <c r="AN17" s="1623">
        <v>3.75</v>
      </c>
      <c r="AO17" s="1623" t="s">
        <v>1906</v>
      </c>
      <c r="AP17" s="1625" t="s">
        <v>54</v>
      </c>
      <c r="AQ17" s="1623" t="s">
        <v>54</v>
      </c>
      <c r="AR17" s="1623">
        <v>5.5</v>
      </c>
      <c r="AS17" s="1623">
        <v>6</v>
      </c>
      <c r="AT17" s="1623" t="s">
        <v>2678</v>
      </c>
      <c r="AU17" s="1623">
        <v>4</v>
      </c>
      <c r="AV17" s="1623" t="s">
        <v>54</v>
      </c>
      <c r="AW17" s="1623" t="s">
        <v>2673</v>
      </c>
      <c r="AX17" s="1623">
        <v>6</v>
      </c>
      <c r="AY17" s="1631" t="s">
        <v>435</v>
      </c>
      <c r="AZ17" s="1632" t="s">
        <v>1081</v>
      </c>
      <c r="BA17" s="1631" t="s">
        <v>435</v>
      </c>
      <c r="BB17" s="1632" t="s">
        <v>1081</v>
      </c>
      <c r="BC17" s="1623" t="s">
        <v>2681</v>
      </c>
      <c r="BD17" s="1626" t="s">
        <v>2625</v>
      </c>
      <c r="BE17" s="1623" t="s">
        <v>2512</v>
      </c>
      <c r="BF17" s="1623">
        <v>6.5</v>
      </c>
      <c r="BG17" s="1623">
        <v>7.5</v>
      </c>
      <c r="BH17" s="1638" t="s">
        <v>54</v>
      </c>
      <c r="BI17" s="1623" t="s">
        <v>2526</v>
      </c>
      <c r="BJ17" s="1623" t="s">
        <v>2688</v>
      </c>
      <c r="BK17" s="1631" t="s">
        <v>435</v>
      </c>
      <c r="BL17" s="1632" t="s">
        <v>1081</v>
      </c>
    </row>
    <row r="18" spans="1:64" ht="11.85" customHeight="1">
      <c r="A18" s="1627" t="s">
        <v>455</v>
      </c>
      <c r="B18" s="1628" t="s">
        <v>1082</v>
      </c>
      <c r="C18" s="1000" t="s">
        <v>54</v>
      </c>
      <c r="D18" s="1639" t="s">
        <v>54</v>
      </c>
      <c r="E18" s="1630" t="s">
        <v>54</v>
      </c>
      <c r="F18" s="1630" t="s">
        <v>2022</v>
      </c>
      <c r="G18" s="1630" t="s">
        <v>1983</v>
      </c>
      <c r="H18" s="1630" t="s">
        <v>54</v>
      </c>
      <c r="I18" s="1630" t="s">
        <v>54</v>
      </c>
      <c r="J18" s="1629" t="s">
        <v>1594</v>
      </c>
      <c r="K18" s="1629">
        <v>5.67</v>
      </c>
      <c r="L18" s="1630" t="s">
        <v>2605</v>
      </c>
      <c r="M18" s="1630">
        <v>4.5</v>
      </c>
      <c r="N18" s="1630" t="s">
        <v>54</v>
      </c>
      <c r="O18" s="1630">
        <v>5.5</v>
      </c>
      <c r="P18" s="1630">
        <v>6</v>
      </c>
      <c r="Q18" s="1630" t="s">
        <v>2516</v>
      </c>
      <c r="R18" s="1027" t="s">
        <v>2618</v>
      </c>
      <c r="S18" s="1627" t="s">
        <v>455</v>
      </c>
      <c r="T18" s="1628" t="s">
        <v>1082</v>
      </c>
      <c r="U18" s="1627" t="s">
        <v>455</v>
      </c>
      <c r="V18" s="1628" t="s">
        <v>1082</v>
      </c>
      <c r="W18" s="1629" t="s">
        <v>2515</v>
      </c>
      <c r="X18" s="1629">
        <v>5</v>
      </c>
      <c r="Y18" s="1640">
        <v>6.21</v>
      </c>
      <c r="Z18" s="1629" t="s">
        <v>54</v>
      </c>
      <c r="AA18" s="1629" t="s">
        <v>54</v>
      </c>
      <c r="AB18" s="1629">
        <v>3.25</v>
      </c>
      <c r="AC18" s="1629" t="s">
        <v>1906</v>
      </c>
      <c r="AD18" s="1629" t="s">
        <v>54</v>
      </c>
      <c r="AE18" s="1629" t="s">
        <v>2045</v>
      </c>
      <c r="AF18" s="1629" t="s">
        <v>54</v>
      </c>
      <c r="AG18" s="1629" t="s">
        <v>54</v>
      </c>
      <c r="AH18" s="1630">
        <v>4.5</v>
      </c>
      <c r="AI18" s="1627" t="s">
        <v>455</v>
      </c>
      <c r="AJ18" s="1628" t="s">
        <v>1082</v>
      </c>
      <c r="AK18" s="1627" t="s">
        <v>455</v>
      </c>
      <c r="AL18" s="1628" t="s">
        <v>1082</v>
      </c>
      <c r="AM18" s="1630">
        <v>5.5</v>
      </c>
      <c r="AN18" s="1630">
        <v>3.75</v>
      </c>
      <c r="AO18" s="1630" t="s">
        <v>2671</v>
      </c>
      <c r="AP18" s="1629" t="s">
        <v>54</v>
      </c>
      <c r="AQ18" s="1630" t="s">
        <v>54</v>
      </c>
      <c r="AR18" s="1630" t="s">
        <v>54</v>
      </c>
      <c r="AS18" s="1630" t="s">
        <v>2551</v>
      </c>
      <c r="AT18" s="1630" t="s">
        <v>2678</v>
      </c>
      <c r="AU18" s="1630">
        <v>4</v>
      </c>
      <c r="AV18" s="1630" t="s">
        <v>54</v>
      </c>
      <c r="AW18" s="1630" t="s">
        <v>2673</v>
      </c>
      <c r="AX18" s="1630">
        <v>6</v>
      </c>
      <c r="AY18" s="1627" t="s">
        <v>455</v>
      </c>
      <c r="AZ18" s="1628" t="s">
        <v>1082</v>
      </c>
      <c r="BA18" s="1627" t="s">
        <v>455</v>
      </c>
      <c r="BB18" s="1628" t="s">
        <v>1082</v>
      </c>
      <c r="BC18" s="1636" t="s">
        <v>2682</v>
      </c>
      <c r="BD18" s="1630" t="s">
        <v>2625</v>
      </c>
      <c r="BE18" s="1630" t="s">
        <v>2512</v>
      </c>
      <c r="BF18" s="1630" t="s">
        <v>2564</v>
      </c>
      <c r="BG18" s="1630">
        <v>7.5</v>
      </c>
      <c r="BH18" s="1641" t="s">
        <v>54</v>
      </c>
      <c r="BI18" s="1630" t="s">
        <v>2526</v>
      </c>
      <c r="BJ18" s="1630" t="s">
        <v>2688</v>
      </c>
      <c r="BK18" s="1627" t="s">
        <v>455</v>
      </c>
      <c r="BL18" s="1628" t="s">
        <v>1082</v>
      </c>
    </row>
    <row r="19" spans="1:64" ht="11.85" customHeight="1">
      <c r="A19" s="2189" t="s">
        <v>174</v>
      </c>
      <c r="B19" s="2189"/>
      <c r="C19" s="1623"/>
      <c r="D19" s="1623"/>
      <c r="E19" s="1623"/>
      <c r="F19" s="1623"/>
      <c r="G19" s="1623"/>
      <c r="H19" s="1623"/>
      <c r="I19" s="1623"/>
      <c r="J19" s="1623"/>
      <c r="K19" s="1623"/>
      <c r="L19" s="1623"/>
      <c r="M19" s="1623"/>
      <c r="N19" s="1623"/>
      <c r="O19" s="1623"/>
      <c r="P19" s="1626" t="s">
        <v>155</v>
      </c>
      <c r="Q19" s="1623"/>
      <c r="R19" s="1626"/>
      <c r="S19" s="2189" t="s">
        <v>174</v>
      </c>
      <c r="T19" s="2189"/>
      <c r="U19" s="2189" t="s">
        <v>174</v>
      </c>
      <c r="V19" s="2189"/>
      <c r="W19" s="1625"/>
      <c r="X19" s="1625"/>
      <c r="Y19" s="1625"/>
      <c r="Z19" s="1625"/>
      <c r="AA19" s="1625"/>
      <c r="AB19" s="1625"/>
      <c r="AC19" s="1624"/>
      <c r="AD19" s="1624"/>
      <c r="AE19" s="1624"/>
      <c r="AF19" s="1624"/>
      <c r="AG19" s="1625"/>
      <c r="AH19" s="1626"/>
      <c r="AI19" s="2189" t="s">
        <v>174</v>
      </c>
      <c r="AJ19" s="2189"/>
      <c r="AK19" s="2189" t="s">
        <v>174</v>
      </c>
      <c r="AL19" s="2189"/>
      <c r="AM19" s="1626"/>
      <c r="AN19" s="1623"/>
      <c r="AO19" s="1626"/>
      <c r="AP19" s="1623"/>
      <c r="AQ19" s="1623"/>
      <c r="AR19" s="1623"/>
      <c r="AS19" s="1623"/>
      <c r="AT19" s="1623"/>
      <c r="AU19" s="1623"/>
      <c r="AV19" s="1623"/>
      <c r="AW19" s="1623"/>
      <c r="AX19" s="1623"/>
      <c r="AY19" s="2189" t="s">
        <v>174</v>
      </c>
      <c r="AZ19" s="2189"/>
      <c r="BA19" s="2189" t="s">
        <v>174</v>
      </c>
      <c r="BB19" s="2189"/>
      <c r="BC19" s="1626"/>
      <c r="BD19" s="1626"/>
      <c r="BE19" s="1626"/>
      <c r="BF19" s="1626"/>
      <c r="BG19" s="1626"/>
      <c r="BH19" s="1626"/>
      <c r="BI19" s="1623"/>
      <c r="BJ19" s="1623"/>
      <c r="BK19" s="2189" t="s">
        <v>174</v>
      </c>
      <c r="BL19" s="2189"/>
    </row>
    <row r="20" spans="1:64" ht="11.85" customHeight="1">
      <c r="A20" s="2180" t="s">
        <v>175</v>
      </c>
      <c r="B20" s="2180"/>
      <c r="C20" s="1630"/>
      <c r="D20" s="1630"/>
      <c r="E20" s="1630"/>
      <c r="F20" s="1630"/>
      <c r="G20" s="1630"/>
      <c r="H20" s="1630"/>
      <c r="I20" s="1630"/>
      <c r="J20" s="1630"/>
      <c r="K20" s="1630"/>
      <c r="L20" s="1630"/>
      <c r="M20" s="1630"/>
      <c r="N20" s="1630"/>
      <c r="O20" s="1630"/>
      <c r="P20" s="1636"/>
      <c r="Q20" s="1630"/>
      <c r="R20" s="1636"/>
      <c r="S20" s="2180" t="s">
        <v>175</v>
      </c>
      <c r="T20" s="2180"/>
      <c r="U20" s="2180" t="s">
        <v>175</v>
      </c>
      <c r="V20" s="2180"/>
      <c r="W20" s="1642"/>
      <c r="X20" s="1629"/>
      <c r="Y20" s="1629"/>
      <c r="Z20" s="1629"/>
      <c r="AA20" s="1629"/>
      <c r="AB20" s="1629"/>
      <c r="AC20" s="1643"/>
      <c r="AD20" s="1643"/>
      <c r="AE20" s="1643"/>
      <c r="AF20" s="1643"/>
      <c r="AG20" s="1629"/>
      <c r="AH20" s="1636"/>
      <c r="AI20" s="2180" t="s">
        <v>175</v>
      </c>
      <c r="AJ20" s="2180"/>
      <c r="AK20" s="2180" t="s">
        <v>175</v>
      </c>
      <c r="AL20" s="2180"/>
      <c r="AM20" s="1636"/>
      <c r="AN20" s="1630"/>
      <c r="AO20" s="1636"/>
      <c r="AP20" s="1630"/>
      <c r="AQ20" s="1630"/>
      <c r="AR20" s="1630"/>
      <c r="AS20" s="1630"/>
      <c r="AT20" s="1630"/>
      <c r="AU20" s="1630"/>
      <c r="AV20" s="1630"/>
      <c r="AW20" s="1630"/>
      <c r="AX20" s="1630"/>
      <c r="AY20" s="2180" t="s">
        <v>175</v>
      </c>
      <c r="AZ20" s="2180"/>
      <c r="BA20" s="2180" t="s">
        <v>175</v>
      </c>
      <c r="BB20" s="2180"/>
      <c r="BC20" s="1636"/>
      <c r="BD20" s="1636"/>
      <c r="BE20" s="1636"/>
      <c r="BF20" s="1636"/>
      <c r="BG20" s="1636"/>
      <c r="BH20" s="1636"/>
      <c r="BI20" s="1630"/>
      <c r="BJ20" s="1630"/>
      <c r="BK20" s="2180" t="s">
        <v>175</v>
      </c>
      <c r="BL20" s="2180"/>
    </row>
    <row r="21" spans="1:64" ht="11.85" customHeight="1">
      <c r="A21" s="1644"/>
      <c r="B21" s="1645" t="s">
        <v>176</v>
      </c>
      <c r="C21" s="1625" t="s">
        <v>1757</v>
      </c>
      <c r="D21" s="1623">
        <v>4</v>
      </c>
      <c r="E21" s="1625" t="s">
        <v>1757</v>
      </c>
      <c r="F21" s="1625" t="s">
        <v>2689</v>
      </c>
      <c r="G21" s="1623" t="s">
        <v>1594</v>
      </c>
      <c r="H21" s="1623" t="s">
        <v>1988</v>
      </c>
      <c r="I21" s="1625">
        <v>8</v>
      </c>
      <c r="J21" s="1625">
        <v>9</v>
      </c>
      <c r="K21" s="1625" t="s">
        <v>54</v>
      </c>
      <c r="L21" s="1623">
        <v>6</v>
      </c>
      <c r="M21" s="1623" t="s">
        <v>1988</v>
      </c>
      <c r="N21" s="1623">
        <v>8</v>
      </c>
      <c r="O21" s="1625" t="s">
        <v>2605</v>
      </c>
      <c r="P21" s="1623">
        <v>8</v>
      </c>
      <c r="Q21" s="1623" t="s">
        <v>1988</v>
      </c>
      <c r="R21" s="1623" t="s">
        <v>2605</v>
      </c>
      <c r="S21" s="929"/>
      <c r="T21" s="1645" t="s">
        <v>176</v>
      </c>
      <c r="U21" s="929"/>
      <c r="V21" s="1645" t="s">
        <v>176</v>
      </c>
      <c r="W21" s="1625" t="s">
        <v>1760</v>
      </c>
      <c r="X21" s="1625" t="s">
        <v>1988</v>
      </c>
      <c r="Y21" s="1625">
        <v>8</v>
      </c>
      <c r="Z21" s="1625">
        <v>8</v>
      </c>
      <c r="AA21" s="1625" t="s">
        <v>1988</v>
      </c>
      <c r="AB21" s="1625">
        <v>8</v>
      </c>
      <c r="AC21" s="1625" t="s">
        <v>2627</v>
      </c>
      <c r="AD21" s="1625" t="s">
        <v>1988</v>
      </c>
      <c r="AE21" s="1625" t="s">
        <v>1988</v>
      </c>
      <c r="AF21" s="1625" t="s">
        <v>1757</v>
      </c>
      <c r="AG21" s="1625" t="s">
        <v>1988</v>
      </c>
      <c r="AH21" s="1623">
        <v>9</v>
      </c>
      <c r="AI21" s="929"/>
      <c r="AJ21" s="1645" t="s">
        <v>176</v>
      </c>
      <c r="AK21" s="929"/>
      <c r="AL21" s="1645" t="s">
        <v>176</v>
      </c>
      <c r="AM21" s="1623">
        <v>8</v>
      </c>
      <c r="AN21" s="1623">
        <v>8</v>
      </c>
      <c r="AO21" s="1625" t="s">
        <v>1594</v>
      </c>
      <c r="AP21" s="1623">
        <v>9</v>
      </c>
      <c r="AQ21" s="1623">
        <v>8</v>
      </c>
      <c r="AR21" s="1623" t="s">
        <v>1988</v>
      </c>
      <c r="AS21" s="1623">
        <v>8</v>
      </c>
      <c r="AT21" s="1623" t="s">
        <v>1988</v>
      </c>
      <c r="AU21" s="1623" t="s">
        <v>1988</v>
      </c>
      <c r="AV21" s="1623">
        <v>8</v>
      </c>
      <c r="AW21" s="1623">
        <v>8</v>
      </c>
      <c r="AX21" s="1623">
        <v>8</v>
      </c>
      <c r="AY21" s="929"/>
      <c r="AZ21" s="1645" t="s">
        <v>176</v>
      </c>
      <c r="BA21" s="929"/>
      <c r="BB21" s="1645" t="s">
        <v>176</v>
      </c>
      <c r="BC21" s="1623" t="s">
        <v>1594</v>
      </c>
      <c r="BD21" s="1623" t="s">
        <v>2607</v>
      </c>
      <c r="BE21" s="1623" t="s">
        <v>2690</v>
      </c>
      <c r="BF21" s="1623">
        <v>5</v>
      </c>
      <c r="BG21" s="1623">
        <v>7.5</v>
      </c>
      <c r="BH21" s="1623" t="s">
        <v>2607</v>
      </c>
      <c r="BI21" s="1623" t="s">
        <v>1759</v>
      </c>
      <c r="BJ21" s="1623" t="s">
        <v>1988</v>
      </c>
      <c r="BK21" s="929"/>
      <c r="BL21" s="1645" t="s">
        <v>176</v>
      </c>
    </row>
    <row r="22" spans="1:64" ht="11.85" customHeight="1">
      <c r="A22" s="40"/>
      <c r="B22" s="1646" t="s">
        <v>177</v>
      </c>
      <c r="C22" s="1640" t="s">
        <v>54</v>
      </c>
      <c r="D22" s="1630" t="s">
        <v>54</v>
      </c>
      <c r="E22" s="1640" t="s">
        <v>54</v>
      </c>
      <c r="F22" s="1630" t="s">
        <v>54</v>
      </c>
      <c r="G22" s="1630" t="s">
        <v>54</v>
      </c>
      <c r="H22" s="1630" t="s">
        <v>54</v>
      </c>
      <c r="I22" s="1630" t="s">
        <v>54</v>
      </c>
      <c r="J22" s="1629" t="s">
        <v>54</v>
      </c>
      <c r="K22" s="1629" t="s">
        <v>54</v>
      </c>
      <c r="L22" s="1630" t="s">
        <v>54</v>
      </c>
      <c r="M22" s="1630" t="s">
        <v>54</v>
      </c>
      <c r="N22" s="1630" t="s">
        <v>54</v>
      </c>
      <c r="O22" s="123">
        <v>8</v>
      </c>
      <c r="P22" s="1636" t="s">
        <v>54</v>
      </c>
      <c r="Q22" s="1630" t="s">
        <v>54</v>
      </c>
      <c r="R22" s="1630" t="s">
        <v>54</v>
      </c>
      <c r="T22" s="1646" t="s">
        <v>177</v>
      </c>
      <c r="V22" s="1646" t="s">
        <v>177</v>
      </c>
      <c r="W22" s="1629" t="s">
        <v>54</v>
      </c>
      <c r="X22" s="1629" t="s">
        <v>54</v>
      </c>
      <c r="Y22" s="1629" t="s">
        <v>54</v>
      </c>
      <c r="Z22" s="1629" t="s">
        <v>54</v>
      </c>
      <c r="AA22" s="1629" t="s">
        <v>54</v>
      </c>
      <c r="AB22" s="1629">
        <v>8</v>
      </c>
      <c r="AC22" s="1629" t="s">
        <v>2627</v>
      </c>
      <c r="AD22" s="1629" t="s">
        <v>54</v>
      </c>
      <c r="AE22" s="1629" t="s">
        <v>54</v>
      </c>
      <c r="AF22" s="1629" t="s">
        <v>1757</v>
      </c>
      <c r="AG22" s="1629" t="s">
        <v>54</v>
      </c>
      <c r="AH22" s="1630" t="s">
        <v>54</v>
      </c>
      <c r="AJ22" s="1646" t="s">
        <v>177</v>
      </c>
      <c r="AL22" s="1646" t="s">
        <v>177</v>
      </c>
      <c r="AM22" s="1630" t="s">
        <v>54</v>
      </c>
      <c r="AN22" s="1630" t="s">
        <v>54</v>
      </c>
      <c r="AO22" s="1630" t="s">
        <v>54</v>
      </c>
      <c r="AP22" s="1630" t="s">
        <v>54</v>
      </c>
      <c r="AQ22" s="1630" t="s">
        <v>54</v>
      </c>
      <c r="AR22" s="1630" t="s">
        <v>54</v>
      </c>
      <c r="AS22" s="1630" t="s">
        <v>54</v>
      </c>
      <c r="AT22" s="1630" t="s">
        <v>54</v>
      </c>
      <c r="AU22" s="1630" t="s">
        <v>54</v>
      </c>
      <c r="AV22" s="1630" t="s">
        <v>54</v>
      </c>
      <c r="AW22" s="1630" t="s">
        <v>54</v>
      </c>
      <c r="AX22" s="1630" t="s">
        <v>54</v>
      </c>
      <c r="AZ22" s="1646" t="s">
        <v>177</v>
      </c>
      <c r="BB22" s="1646" t="s">
        <v>177</v>
      </c>
      <c r="BC22" s="1630" t="s">
        <v>54</v>
      </c>
      <c r="BD22" s="1630" t="s">
        <v>54</v>
      </c>
      <c r="BE22" s="1630" t="s">
        <v>54</v>
      </c>
      <c r="BF22" s="1636" t="s">
        <v>54</v>
      </c>
      <c r="BG22" s="1630" t="s">
        <v>54</v>
      </c>
      <c r="BH22" s="1630" t="s">
        <v>54</v>
      </c>
      <c r="BI22" s="1630" t="s">
        <v>54</v>
      </c>
      <c r="BJ22" s="1647" t="s">
        <v>54</v>
      </c>
      <c r="BL22" s="1646" t="s">
        <v>177</v>
      </c>
    </row>
    <row r="23" spans="1:64" ht="21" customHeight="1">
      <c r="A23" s="2189" t="s">
        <v>184</v>
      </c>
      <c r="B23" s="2189"/>
      <c r="C23" s="1623"/>
      <c r="D23" s="1623"/>
      <c r="E23" s="1623"/>
      <c r="F23" s="1623"/>
      <c r="G23" s="1623"/>
      <c r="H23" s="1674"/>
      <c r="I23" s="1623"/>
      <c r="J23" s="1625"/>
      <c r="K23" s="1625"/>
      <c r="L23" s="1623"/>
      <c r="M23" s="1623"/>
      <c r="N23" s="1623"/>
      <c r="O23" s="1623"/>
      <c r="P23" s="1626"/>
      <c r="Q23" s="1623"/>
      <c r="R23" s="1626"/>
      <c r="S23" s="2189" t="s">
        <v>184</v>
      </c>
      <c r="T23" s="2189"/>
      <c r="U23" s="2189" t="s">
        <v>184</v>
      </c>
      <c r="V23" s="2189"/>
      <c r="W23" s="1625"/>
      <c r="X23" s="1625"/>
      <c r="Y23" s="1625"/>
      <c r="Z23" s="1625"/>
      <c r="AA23" s="1625"/>
      <c r="AB23" s="1625"/>
      <c r="AC23" s="1625"/>
      <c r="AD23" s="1625"/>
      <c r="AE23" s="1625"/>
      <c r="AF23" s="1625"/>
      <c r="AG23" s="1625"/>
      <c r="AH23" s="1626"/>
      <c r="AI23" s="2189" t="s">
        <v>184</v>
      </c>
      <c r="AJ23" s="2189"/>
      <c r="AK23" s="2189" t="s">
        <v>184</v>
      </c>
      <c r="AL23" s="2189"/>
      <c r="AM23" s="1626"/>
      <c r="AN23" s="1623"/>
      <c r="AO23" s="1623"/>
      <c r="AP23" s="1623"/>
      <c r="AQ23" s="1623"/>
      <c r="AR23" s="1623"/>
      <c r="AS23" s="1623"/>
      <c r="AT23" s="1623"/>
      <c r="AU23" s="1623"/>
      <c r="AV23" s="1623"/>
      <c r="AW23" s="1623"/>
      <c r="AX23" s="1623"/>
      <c r="AY23" s="2189" t="s">
        <v>184</v>
      </c>
      <c r="AZ23" s="2189"/>
      <c r="BA23" s="2189" t="s">
        <v>184</v>
      </c>
      <c r="BB23" s="2189"/>
      <c r="BC23" s="1626"/>
      <c r="BD23" s="1623"/>
      <c r="BE23" s="1623"/>
      <c r="BF23" s="1626"/>
      <c r="BG23" s="1623"/>
      <c r="BH23" s="1623"/>
      <c r="BI23" s="1623"/>
      <c r="BJ23" s="1623"/>
      <c r="BK23" s="2189" t="s">
        <v>184</v>
      </c>
      <c r="BL23" s="2189"/>
    </row>
    <row r="24" spans="1:64" ht="11.85" customHeight="1">
      <c r="B24" s="1646" t="s">
        <v>176</v>
      </c>
      <c r="C24" s="1630" t="s">
        <v>1988</v>
      </c>
      <c r="D24" s="123" t="s">
        <v>1988</v>
      </c>
      <c r="E24" s="1629" t="s">
        <v>1988</v>
      </c>
      <c r="F24" s="1630" t="s">
        <v>1988</v>
      </c>
      <c r="G24" s="123" t="s">
        <v>1988</v>
      </c>
      <c r="H24" s="1629" t="s">
        <v>1988</v>
      </c>
      <c r="I24" s="1630" t="s">
        <v>54</v>
      </c>
      <c r="J24" s="1629" t="s">
        <v>1988</v>
      </c>
      <c r="K24" s="1629" t="s">
        <v>54</v>
      </c>
      <c r="L24" s="1630">
        <v>9</v>
      </c>
      <c r="M24" s="1630">
        <v>9</v>
      </c>
      <c r="N24" s="1629">
        <v>9</v>
      </c>
      <c r="O24" s="123">
        <v>9</v>
      </c>
      <c r="P24" s="1630" t="s">
        <v>1988</v>
      </c>
      <c r="Q24" s="1640">
        <v>9</v>
      </c>
      <c r="R24" s="123">
        <v>9</v>
      </c>
      <c r="T24" s="1646" t="s">
        <v>176</v>
      </c>
      <c r="V24" s="1646" t="s">
        <v>176</v>
      </c>
      <c r="W24" s="1629">
        <v>9</v>
      </c>
      <c r="X24" s="1629">
        <v>9</v>
      </c>
      <c r="Y24" s="1629">
        <v>9</v>
      </c>
      <c r="Z24" s="1629" t="s">
        <v>54</v>
      </c>
      <c r="AA24" s="1629" t="s">
        <v>1988</v>
      </c>
      <c r="AB24" s="1629">
        <v>9</v>
      </c>
      <c r="AC24" s="1629" t="s">
        <v>1759</v>
      </c>
      <c r="AD24" s="1629">
        <v>9</v>
      </c>
      <c r="AE24" s="1629" t="s">
        <v>1761</v>
      </c>
      <c r="AF24" s="1640" t="s">
        <v>1988</v>
      </c>
      <c r="AG24" s="1629">
        <v>9</v>
      </c>
      <c r="AH24" s="1630">
        <v>9</v>
      </c>
      <c r="AJ24" s="1646" t="s">
        <v>176</v>
      </c>
      <c r="AL24" s="1646" t="s">
        <v>176</v>
      </c>
      <c r="AM24" s="1630">
        <v>9</v>
      </c>
      <c r="AN24" s="1630">
        <v>9</v>
      </c>
      <c r="AO24" s="1630" t="s">
        <v>1594</v>
      </c>
      <c r="AP24" s="1630">
        <v>9</v>
      </c>
      <c r="AQ24" s="1630">
        <v>9</v>
      </c>
      <c r="AR24" s="1630">
        <v>9</v>
      </c>
      <c r="AS24" s="1630">
        <v>9</v>
      </c>
      <c r="AT24" s="1630">
        <v>9</v>
      </c>
      <c r="AU24" s="1630">
        <v>9</v>
      </c>
      <c r="AV24" s="1630">
        <v>9</v>
      </c>
      <c r="AW24" s="1630" t="s">
        <v>1759</v>
      </c>
      <c r="AX24" s="1630">
        <v>8</v>
      </c>
      <c r="AZ24" s="1646" t="s">
        <v>176</v>
      </c>
      <c r="BB24" s="1646" t="s">
        <v>176</v>
      </c>
      <c r="BC24" s="1630" t="s">
        <v>1761</v>
      </c>
      <c r="BD24" s="1630" t="s">
        <v>2588</v>
      </c>
      <c r="BE24" s="1630" t="s">
        <v>2690</v>
      </c>
      <c r="BF24" s="1630">
        <v>5</v>
      </c>
      <c r="BG24" s="1630" t="s">
        <v>54</v>
      </c>
      <c r="BH24" s="1630" t="s">
        <v>2561</v>
      </c>
      <c r="BI24" s="1630" t="s">
        <v>2531</v>
      </c>
      <c r="BJ24" s="1630">
        <v>9</v>
      </c>
      <c r="BL24" s="1646" t="s">
        <v>176</v>
      </c>
    </row>
    <row r="25" spans="1:64" ht="11.85" customHeight="1">
      <c r="A25" s="929"/>
      <c r="B25" s="1645" t="s">
        <v>177</v>
      </c>
      <c r="C25" s="1623" t="s">
        <v>54</v>
      </c>
      <c r="D25" s="1623" t="s">
        <v>54</v>
      </c>
      <c r="E25" s="1623" t="s">
        <v>54</v>
      </c>
      <c r="F25" s="1623" t="s">
        <v>54</v>
      </c>
      <c r="G25" s="1623" t="s">
        <v>54</v>
      </c>
      <c r="H25" s="1623" t="s">
        <v>54</v>
      </c>
      <c r="I25" s="1623" t="s">
        <v>1988</v>
      </c>
      <c r="J25" s="1625" t="s">
        <v>54</v>
      </c>
      <c r="K25" s="1625" t="s">
        <v>54</v>
      </c>
      <c r="L25" s="1623" t="s">
        <v>54</v>
      </c>
      <c r="M25" s="1623">
        <v>9</v>
      </c>
      <c r="N25" s="1623">
        <v>9</v>
      </c>
      <c r="O25" s="1648">
        <v>9</v>
      </c>
      <c r="P25" s="1623" t="s">
        <v>54</v>
      </c>
      <c r="Q25" s="1623">
        <v>9</v>
      </c>
      <c r="R25" s="1626" t="s">
        <v>54</v>
      </c>
      <c r="S25" s="929"/>
      <c r="T25" s="1645" t="s">
        <v>177</v>
      </c>
      <c r="U25" s="929"/>
      <c r="V25" s="1645" t="s">
        <v>177</v>
      </c>
      <c r="W25" s="1625" t="s">
        <v>54</v>
      </c>
      <c r="X25" s="1625" t="s">
        <v>54</v>
      </c>
      <c r="Y25" s="1625" t="s">
        <v>54</v>
      </c>
      <c r="Z25" s="1625">
        <v>9</v>
      </c>
      <c r="AA25" s="1625" t="s">
        <v>54</v>
      </c>
      <c r="AB25" s="1625">
        <v>9</v>
      </c>
      <c r="AC25" s="1625" t="s">
        <v>1759</v>
      </c>
      <c r="AD25" s="1625">
        <v>9</v>
      </c>
      <c r="AE25" s="1625" t="s">
        <v>1761</v>
      </c>
      <c r="AF25" s="1649" t="s">
        <v>54</v>
      </c>
      <c r="AG25" s="1625">
        <v>9</v>
      </c>
      <c r="AH25" s="1650" t="s">
        <v>54</v>
      </c>
      <c r="AI25" s="929"/>
      <c r="AJ25" s="1645" t="s">
        <v>177</v>
      </c>
      <c r="AK25" s="929"/>
      <c r="AL25" s="1645" t="s">
        <v>177</v>
      </c>
      <c r="AM25" s="1623">
        <v>9</v>
      </c>
      <c r="AN25" s="1623" t="s">
        <v>54</v>
      </c>
      <c r="AO25" s="1650" t="s">
        <v>54</v>
      </c>
      <c r="AP25" s="1623" t="s">
        <v>54</v>
      </c>
      <c r="AQ25" s="1623" t="s">
        <v>54</v>
      </c>
      <c r="AR25" s="1623" t="s">
        <v>54</v>
      </c>
      <c r="AS25" s="1623" t="s">
        <v>54</v>
      </c>
      <c r="AT25" s="1623" t="s">
        <v>54</v>
      </c>
      <c r="AU25" s="1623" t="s">
        <v>54</v>
      </c>
      <c r="AV25" s="1623" t="s">
        <v>54</v>
      </c>
      <c r="AW25" s="1623" t="s">
        <v>54</v>
      </c>
      <c r="AX25" s="1623" t="s">
        <v>54</v>
      </c>
      <c r="AY25" s="929"/>
      <c r="AZ25" s="1645" t="s">
        <v>177</v>
      </c>
      <c r="BA25" s="929"/>
      <c r="BB25" s="1645" t="s">
        <v>177</v>
      </c>
      <c r="BC25" s="1623" t="s">
        <v>54</v>
      </c>
      <c r="BD25" s="1623" t="s">
        <v>2588</v>
      </c>
      <c r="BE25" s="1623" t="s">
        <v>54</v>
      </c>
      <c r="BF25" s="1626" t="s">
        <v>54</v>
      </c>
      <c r="BG25" s="1623" t="s">
        <v>54</v>
      </c>
      <c r="BH25" s="1650" t="s">
        <v>54</v>
      </c>
      <c r="BI25" s="1623" t="s">
        <v>54</v>
      </c>
      <c r="BJ25" s="1650" t="s">
        <v>54</v>
      </c>
      <c r="BK25" s="929"/>
      <c r="BL25" s="1645" t="s">
        <v>177</v>
      </c>
    </row>
    <row r="26" spans="1:64" ht="11.85" customHeight="1">
      <c r="A26" s="2180" t="s">
        <v>29</v>
      </c>
      <c r="B26" s="2180"/>
      <c r="C26" s="1630"/>
      <c r="D26" s="1630"/>
      <c r="E26" s="1630"/>
      <c r="F26" s="1630"/>
      <c r="G26" s="1630"/>
      <c r="H26" s="1630"/>
      <c r="I26" s="1630"/>
      <c r="J26" s="1629"/>
      <c r="K26" s="1629"/>
      <c r="L26" s="1630"/>
      <c r="M26" s="1630"/>
      <c r="N26" s="1630"/>
      <c r="O26" s="1630"/>
      <c r="P26" s="1630"/>
      <c r="Q26" s="1636"/>
      <c r="R26" s="1636"/>
      <c r="S26" s="2180" t="s">
        <v>29</v>
      </c>
      <c r="T26" s="2180"/>
      <c r="U26" s="2180" t="s">
        <v>29</v>
      </c>
      <c r="V26" s="2180"/>
      <c r="W26" s="1629"/>
      <c r="X26" s="1629"/>
      <c r="Y26" s="1629"/>
      <c r="Z26" s="1629"/>
      <c r="AA26" s="1629"/>
      <c r="AB26" s="1629"/>
      <c r="AC26" s="1629"/>
      <c r="AD26" s="1629"/>
      <c r="AE26" s="1629"/>
      <c r="AF26" s="1629"/>
      <c r="AG26" s="1629"/>
      <c r="AH26" s="1630"/>
      <c r="AI26" s="2180" t="s">
        <v>29</v>
      </c>
      <c r="AJ26" s="2180"/>
      <c r="AK26" s="2180" t="s">
        <v>29</v>
      </c>
      <c r="AL26" s="2180"/>
      <c r="AM26" s="1630"/>
      <c r="AN26" s="1630"/>
      <c r="AO26" s="1630"/>
      <c r="AP26" s="1630"/>
      <c r="AQ26" s="1630"/>
      <c r="AR26" s="1630"/>
      <c r="AS26" s="1630"/>
      <c r="AT26" s="1630"/>
      <c r="AU26" s="1630"/>
      <c r="AV26" s="1630"/>
      <c r="AW26" s="1630"/>
      <c r="AX26" s="1630"/>
      <c r="AY26" s="2180" t="s">
        <v>29</v>
      </c>
      <c r="AZ26" s="2180"/>
      <c r="BA26" s="2180" t="s">
        <v>29</v>
      </c>
      <c r="BB26" s="2180"/>
      <c r="BC26" s="1630"/>
      <c r="BD26" s="1630"/>
      <c r="BE26" s="1630"/>
      <c r="BF26" s="1636"/>
      <c r="BG26" s="1630"/>
      <c r="BH26" s="1630"/>
      <c r="BI26" s="1630"/>
      <c r="BJ26" s="1630"/>
      <c r="BK26" s="2180" t="s">
        <v>29</v>
      </c>
      <c r="BL26" s="2180"/>
    </row>
    <row r="27" spans="1:64" ht="11.85" customHeight="1">
      <c r="A27" s="929"/>
      <c r="B27" s="1645" t="s">
        <v>176</v>
      </c>
      <c r="C27" s="1625" t="s">
        <v>1988</v>
      </c>
      <c r="D27" s="1648" t="s">
        <v>1988</v>
      </c>
      <c r="E27" s="1625" t="s">
        <v>1988</v>
      </c>
      <c r="F27" s="1623" t="s">
        <v>1988</v>
      </c>
      <c r="G27" s="1648" t="s">
        <v>1988</v>
      </c>
      <c r="H27" s="1648">
        <v>9</v>
      </c>
      <c r="I27" s="1625" t="s">
        <v>54</v>
      </c>
      <c r="J27" s="1625" t="s">
        <v>1988</v>
      </c>
      <c r="K27" s="1625" t="s">
        <v>54</v>
      </c>
      <c r="L27" s="1623">
        <v>9</v>
      </c>
      <c r="M27" s="1623">
        <v>9</v>
      </c>
      <c r="N27" s="1625">
        <v>9</v>
      </c>
      <c r="O27" s="1648">
        <v>9</v>
      </c>
      <c r="P27" s="1623">
        <v>9</v>
      </c>
      <c r="Q27" s="1625">
        <v>9</v>
      </c>
      <c r="R27" s="1648">
        <v>9</v>
      </c>
      <c r="S27" s="929"/>
      <c r="T27" s="1645" t="s">
        <v>176</v>
      </c>
      <c r="U27" s="929"/>
      <c r="V27" s="1645" t="s">
        <v>176</v>
      </c>
      <c r="W27" s="1625">
        <v>9</v>
      </c>
      <c r="X27" s="1625">
        <v>9</v>
      </c>
      <c r="Y27" s="1625">
        <v>9</v>
      </c>
      <c r="Z27" s="1625">
        <v>9</v>
      </c>
      <c r="AA27" s="1625" t="s">
        <v>1988</v>
      </c>
      <c r="AB27" s="1625">
        <v>9</v>
      </c>
      <c r="AC27" s="1625" t="s">
        <v>1759</v>
      </c>
      <c r="AD27" s="1625">
        <v>9</v>
      </c>
      <c r="AE27" s="1625" t="s">
        <v>1761</v>
      </c>
      <c r="AF27" s="1625" t="s">
        <v>1988</v>
      </c>
      <c r="AG27" s="1625">
        <v>9</v>
      </c>
      <c r="AH27" s="1623">
        <v>9</v>
      </c>
      <c r="AI27" s="929"/>
      <c r="AJ27" s="1645" t="s">
        <v>176</v>
      </c>
      <c r="AK27" s="929"/>
      <c r="AL27" s="1645" t="s">
        <v>176</v>
      </c>
      <c r="AM27" s="1623">
        <v>9</v>
      </c>
      <c r="AN27" s="1623">
        <v>9</v>
      </c>
      <c r="AO27" s="1625" t="s">
        <v>1594</v>
      </c>
      <c r="AP27" s="1623">
        <v>9</v>
      </c>
      <c r="AQ27" s="1623">
        <v>9</v>
      </c>
      <c r="AR27" s="1623">
        <v>9</v>
      </c>
      <c r="AS27" s="1623">
        <v>9</v>
      </c>
      <c r="AT27" s="1623">
        <v>9</v>
      </c>
      <c r="AU27" s="1623">
        <v>9</v>
      </c>
      <c r="AV27" s="1623">
        <v>9</v>
      </c>
      <c r="AW27" s="1623" t="s">
        <v>54</v>
      </c>
      <c r="AX27" s="1623">
        <v>9</v>
      </c>
      <c r="AY27" s="929"/>
      <c r="AZ27" s="1645" t="s">
        <v>176</v>
      </c>
      <c r="BA27" s="929"/>
      <c r="BB27" s="1645" t="s">
        <v>176</v>
      </c>
      <c r="BC27" s="1623">
        <v>9</v>
      </c>
      <c r="BD27" s="1623" t="s">
        <v>1594</v>
      </c>
      <c r="BE27" s="1623" t="s">
        <v>1594</v>
      </c>
      <c r="BF27" s="1623" t="s">
        <v>1761</v>
      </c>
      <c r="BG27" s="1623">
        <v>8</v>
      </c>
      <c r="BH27" s="1623" t="s">
        <v>54</v>
      </c>
      <c r="BI27" s="1623" t="s">
        <v>1761</v>
      </c>
      <c r="BJ27" s="1623">
        <v>9</v>
      </c>
      <c r="BK27" s="929"/>
      <c r="BL27" s="1645" t="s">
        <v>176</v>
      </c>
    </row>
    <row r="28" spans="1:64" ht="11.85" customHeight="1">
      <c r="B28" s="1646" t="s">
        <v>177</v>
      </c>
      <c r="C28" s="1630" t="s">
        <v>54</v>
      </c>
      <c r="D28" s="1630" t="s">
        <v>54</v>
      </c>
      <c r="E28" s="1630" t="s">
        <v>54</v>
      </c>
      <c r="F28" s="1641" t="s">
        <v>54</v>
      </c>
      <c r="G28" s="1630" t="s">
        <v>54</v>
      </c>
      <c r="H28" s="1630" t="s">
        <v>54</v>
      </c>
      <c r="I28" s="1630" t="s">
        <v>1988</v>
      </c>
      <c r="J28" s="1629" t="s">
        <v>54</v>
      </c>
      <c r="K28" s="1629" t="s">
        <v>54</v>
      </c>
      <c r="L28" s="1641" t="s">
        <v>54</v>
      </c>
      <c r="M28" s="1630">
        <v>9</v>
      </c>
      <c r="N28" s="1630">
        <v>9</v>
      </c>
      <c r="O28" s="1630" t="s">
        <v>54</v>
      </c>
      <c r="P28" s="1630" t="s">
        <v>54</v>
      </c>
      <c r="Q28" s="1630">
        <v>9</v>
      </c>
      <c r="R28" s="1636" t="s">
        <v>54</v>
      </c>
      <c r="T28" s="1646" t="s">
        <v>177</v>
      </c>
      <c r="V28" s="1646" t="s">
        <v>177</v>
      </c>
      <c r="W28" s="1629" t="s">
        <v>54</v>
      </c>
      <c r="X28" s="1629" t="s">
        <v>54</v>
      </c>
      <c r="Y28" s="1629" t="s">
        <v>54</v>
      </c>
      <c r="Z28" s="1629" t="s">
        <v>54</v>
      </c>
      <c r="AA28" s="1629" t="s">
        <v>54</v>
      </c>
      <c r="AB28" s="1629">
        <v>9</v>
      </c>
      <c r="AC28" s="1629" t="s">
        <v>54</v>
      </c>
      <c r="AD28" s="1629" t="s">
        <v>54</v>
      </c>
      <c r="AE28" s="1629" t="s">
        <v>1761</v>
      </c>
      <c r="AF28" s="1629" t="s">
        <v>54</v>
      </c>
      <c r="AG28" s="1629">
        <v>9</v>
      </c>
      <c r="AH28" s="1647" t="s">
        <v>54</v>
      </c>
      <c r="AJ28" s="1646" t="s">
        <v>177</v>
      </c>
      <c r="AL28" s="1646" t="s">
        <v>177</v>
      </c>
      <c r="AM28" s="1630">
        <v>9</v>
      </c>
      <c r="AN28" s="1630" t="s">
        <v>54</v>
      </c>
      <c r="AO28" s="1651" t="s">
        <v>54</v>
      </c>
      <c r="AP28" s="1630" t="s">
        <v>54</v>
      </c>
      <c r="AQ28" s="1647" t="s">
        <v>54</v>
      </c>
      <c r="AR28" s="1630" t="s">
        <v>54</v>
      </c>
      <c r="AS28" s="1630" t="s">
        <v>54</v>
      </c>
      <c r="AT28" s="1630" t="s">
        <v>54</v>
      </c>
      <c r="AU28" s="1630" t="s">
        <v>54</v>
      </c>
      <c r="AV28" s="1630" t="s">
        <v>54</v>
      </c>
      <c r="AW28" s="1630" t="s">
        <v>54</v>
      </c>
      <c r="AX28" s="1630" t="s">
        <v>54</v>
      </c>
      <c r="AZ28" s="1646" t="s">
        <v>177</v>
      </c>
      <c r="BB28" s="1646" t="s">
        <v>177</v>
      </c>
      <c r="BC28" s="1630" t="s">
        <v>54</v>
      </c>
      <c r="BD28" s="1630" t="s">
        <v>1594</v>
      </c>
      <c r="BE28" s="1630" t="s">
        <v>54</v>
      </c>
      <c r="BF28" s="1636" t="s">
        <v>54</v>
      </c>
      <c r="BG28" s="1630" t="s">
        <v>54</v>
      </c>
      <c r="BH28" s="1630" t="s">
        <v>54</v>
      </c>
      <c r="BI28" s="1630" t="s">
        <v>54</v>
      </c>
      <c r="BJ28" s="1647" t="s">
        <v>54</v>
      </c>
      <c r="BL28" s="1646" t="s">
        <v>177</v>
      </c>
    </row>
    <row r="29" spans="1:64">
      <c r="A29" s="2190" t="s">
        <v>188</v>
      </c>
      <c r="B29" s="2190"/>
      <c r="C29" s="1623"/>
      <c r="D29" s="1623"/>
      <c r="E29" s="1623"/>
      <c r="F29" s="1623"/>
      <c r="G29" s="1623"/>
      <c r="H29" s="1623"/>
      <c r="I29" s="1623"/>
      <c r="J29" s="1625"/>
      <c r="K29" s="1625"/>
      <c r="L29" s="1623"/>
      <c r="M29" s="1623"/>
      <c r="N29" s="1623"/>
      <c r="O29" s="1623"/>
      <c r="P29" s="1623"/>
      <c r="Q29" s="1626"/>
      <c r="R29" s="1626"/>
      <c r="S29" s="2189" t="s">
        <v>188</v>
      </c>
      <c r="T29" s="2189"/>
      <c r="U29" s="2189" t="s">
        <v>188</v>
      </c>
      <c r="V29" s="2189"/>
      <c r="W29" s="1625"/>
      <c r="X29" s="1625"/>
      <c r="Y29" s="1625"/>
      <c r="Z29" s="1625"/>
      <c r="AA29" s="1625"/>
      <c r="AB29" s="1625"/>
      <c r="AC29" s="1625"/>
      <c r="AD29" s="1625"/>
      <c r="AE29" s="1625"/>
      <c r="AF29" s="1625"/>
      <c r="AG29" s="1625"/>
      <c r="AH29" s="1626"/>
      <c r="AI29" s="2189" t="s">
        <v>188</v>
      </c>
      <c r="AJ29" s="2189"/>
      <c r="AK29" s="2189" t="s">
        <v>188</v>
      </c>
      <c r="AL29" s="2189"/>
      <c r="AM29" s="1626"/>
      <c r="AN29" s="1623"/>
      <c r="AO29" s="1652"/>
      <c r="AP29" s="1623"/>
      <c r="AQ29" s="1623"/>
      <c r="AR29" s="1623"/>
      <c r="AS29" s="1623"/>
      <c r="AT29" s="1623"/>
      <c r="AU29" s="1623"/>
      <c r="AV29" s="1623"/>
      <c r="AW29" s="1623"/>
      <c r="AX29" s="1623"/>
      <c r="AY29" s="2189" t="s">
        <v>188</v>
      </c>
      <c r="AZ29" s="2189"/>
      <c r="BA29" s="2189" t="s">
        <v>188</v>
      </c>
      <c r="BB29" s="2189"/>
      <c r="BC29" s="1623"/>
      <c r="BD29" s="1623"/>
      <c r="BE29" s="1623"/>
      <c r="BF29" s="1626"/>
      <c r="BG29" s="1623"/>
      <c r="BH29" s="1623"/>
      <c r="BI29" s="1623"/>
      <c r="BJ29" s="1623"/>
      <c r="BK29" s="2189" t="s">
        <v>188</v>
      </c>
      <c r="BL29" s="2189"/>
    </row>
    <row r="30" spans="1:64" s="1656" customFormat="1" ht="18" customHeight="1">
      <c r="A30" s="1653" t="s">
        <v>457</v>
      </c>
      <c r="B30" s="1654" t="s">
        <v>803</v>
      </c>
      <c r="C30" s="1629"/>
      <c r="D30" s="1629"/>
      <c r="E30" s="1629"/>
      <c r="F30" s="1629"/>
      <c r="G30" s="1629"/>
      <c r="H30" s="1629"/>
      <c r="I30" s="1629"/>
      <c r="J30" s="1629"/>
      <c r="K30" s="1629"/>
      <c r="L30" s="1642"/>
      <c r="M30" s="1629"/>
      <c r="N30" s="1629"/>
      <c r="O30" s="1629"/>
      <c r="P30" s="1640"/>
      <c r="Q30" s="1643"/>
      <c r="R30" s="1643"/>
      <c r="S30" s="1653" t="s">
        <v>457</v>
      </c>
      <c r="T30" s="1655" t="s">
        <v>803</v>
      </c>
      <c r="U30" s="1653" t="s">
        <v>457</v>
      </c>
      <c r="V30" s="1655" t="s">
        <v>803</v>
      </c>
      <c r="W30" s="1629"/>
      <c r="X30" s="1629"/>
      <c r="Y30" s="1629"/>
      <c r="Z30" s="1629"/>
      <c r="AA30" s="1629"/>
      <c r="AB30" s="1629"/>
      <c r="AC30" s="1629"/>
      <c r="AD30" s="1629"/>
      <c r="AE30" s="1629"/>
      <c r="AF30" s="1629"/>
      <c r="AG30" s="1629"/>
      <c r="AH30" s="1643"/>
      <c r="AI30" s="1653" t="s">
        <v>457</v>
      </c>
      <c r="AJ30" s="1655" t="s">
        <v>803</v>
      </c>
      <c r="AK30" s="1653" t="s">
        <v>457</v>
      </c>
      <c r="AL30" s="1655" t="s">
        <v>803</v>
      </c>
      <c r="AM30" s="1643"/>
      <c r="AN30" s="1629"/>
      <c r="AO30" s="1629"/>
      <c r="AP30" s="1629"/>
      <c r="AQ30" s="1629"/>
      <c r="AR30" s="1629"/>
      <c r="AS30" s="1629"/>
      <c r="AT30" s="1629"/>
      <c r="AU30" s="1629"/>
      <c r="AV30" s="1629"/>
      <c r="AW30" s="1629"/>
      <c r="AX30" s="1629"/>
      <c r="AY30" s="1653" t="s">
        <v>457</v>
      </c>
      <c r="AZ30" s="1655" t="s">
        <v>803</v>
      </c>
      <c r="BA30" s="1653" t="s">
        <v>457</v>
      </c>
      <c r="BB30" s="1655" t="s">
        <v>803</v>
      </c>
      <c r="BC30" s="1629"/>
      <c r="BD30" s="1629"/>
      <c r="BE30" s="1629"/>
      <c r="BF30" s="1643"/>
      <c r="BG30" s="1629"/>
      <c r="BH30" s="1629"/>
      <c r="BI30" s="1629"/>
      <c r="BJ30" s="1629"/>
      <c r="BK30" s="1653" t="s">
        <v>457</v>
      </c>
      <c r="BL30" s="1655" t="s">
        <v>803</v>
      </c>
    </row>
    <row r="31" spans="1:64" ht="11.85" customHeight="1">
      <c r="A31" s="1657"/>
      <c r="B31" s="1645" t="s">
        <v>185</v>
      </c>
      <c r="C31" s="1625" t="s">
        <v>1988</v>
      </c>
      <c r="D31" s="1648" t="s">
        <v>1988</v>
      </c>
      <c r="E31" s="1625" t="s">
        <v>1988</v>
      </c>
      <c r="F31" s="1623" t="s">
        <v>1988</v>
      </c>
      <c r="G31" s="1648" t="s">
        <v>1988</v>
      </c>
      <c r="H31" s="1625" t="s">
        <v>1988</v>
      </c>
      <c r="I31" s="1623" t="s">
        <v>54</v>
      </c>
      <c r="J31" s="1648" t="s">
        <v>1988</v>
      </c>
      <c r="K31" s="1648" t="s">
        <v>54</v>
      </c>
      <c r="L31" s="1623">
        <v>9</v>
      </c>
      <c r="M31" s="1623">
        <v>9</v>
      </c>
      <c r="N31" s="1625">
        <v>9</v>
      </c>
      <c r="O31" s="1648">
        <v>9</v>
      </c>
      <c r="P31" s="1623" t="s">
        <v>1988</v>
      </c>
      <c r="Q31" s="1625" t="s">
        <v>1988</v>
      </c>
      <c r="R31" s="1625" t="s">
        <v>1988</v>
      </c>
      <c r="S31" s="1657"/>
      <c r="T31" s="1645" t="s">
        <v>176</v>
      </c>
      <c r="U31" s="1657"/>
      <c r="V31" s="1645" t="s">
        <v>176</v>
      </c>
      <c r="W31" s="1625">
        <v>9</v>
      </c>
      <c r="X31" s="1625">
        <v>9</v>
      </c>
      <c r="Y31" s="1625">
        <v>9</v>
      </c>
      <c r="Z31" s="1625">
        <v>9</v>
      </c>
      <c r="AA31" s="1625" t="s">
        <v>1988</v>
      </c>
      <c r="AB31" s="1625">
        <v>9</v>
      </c>
      <c r="AC31" s="1625" t="s">
        <v>1759</v>
      </c>
      <c r="AD31" s="1625">
        <v>9</v>
      </c>
      <c r="AE31" s="1625" t="s">
        <v>1761</v>
      </c>
      <c r="AF31" s="1625" t="s">
        <v>1988</v>
      </c>
      <c r="AG31" s="1625">
        <v>9</v>
      </c>
      <c r="AH31" s="1623">
        <v>9</v>
      </c>
      <c r="AI31" s="1657"/>
      <c r="AJ31" s="1645" t="s">
        <v>176</v>
      </c>
      <c r="AK31" s="1657"/>
      <c r="AL31" s="1645" t="s">
        <v>176</v>
      </c>
      <c r="AM31" s="1623">
        <v>9</v>
      </c>
      <c r="AN31" s="1623">
        <v>9</v>
      </c>
      <c r="AO31" s="1625" t="s">
        <v>1594</v>
      </c>
      <c r="AP31" s="1623">
        <v>9</v>
      </c>
      <c r="AQ31" s="1623">
        <v>9</v>
      </c>
      <c r="AR31" s="1623">
        <v>9</v>
      </c>
      <c r="AS31" s="1623" t="s">
        <v>2529</v>
      </c>
      <c r="AT31" s="1623">
        <v>9</v>
      </c>
      <c r="AU31" s="1623">
        <v>9</v>
      </c>
      <c r="AV31" s="1623">
        <v>9</v>
      </c>
      <c r="AW31" s="1623" t="s">
        <v>54</v>
      </c>
      <c r="AX31" s="1623">
        <v>9</v>
      </c>
      <c r="AY31" s="1657"/>
      <c r="AZ31" s="1645" t="s">
        <v>176</v>
      </c>
      <c r="BA31" s="1657"/>
      <c r="BB31" s="1645" t="s">
        <v>176</v>
      </c>
      <c r="BC31" s="1623" t="s">
        <v>1594</v>
      </c>
      <c r="BD31" s="1623" t="s">
        <v>1594</v>
      </c>
      <c r="BE31" s="1623" t="s">
        <v>1594</v>
      </c>
      <c r="BF31" s="1623" t="s">
        <v>1761</v>
      </c>
      <c r="BG31" s="1623">
        <v>9</v>
      </c>
      <c r="BH31" s="1623" t="s">
        <v>2691</v>
      </c>
      <c r="BI31" s="1623" t="s">
        <v>1759</v>
      </c>
      <c r="BJ31" s="1623">
        <v>9</v>
      </c>
      <c r="BK31" s="1657"/>
      <c r="BL31" s="1645" t="s">
        <v>176</v>
      </c>
    </row>
    <row r="32" spans="1:64" ht="11.85" customHeight="1">
      <c r="A32" s="1653"/>
      <c r="B32" s="1646" t="s">
        <v>186</v>
      </c>
      <c r="C32" s="1630" t="s">
        <v>54</v>
      </c>
      <c r="D32" s="1647" t="s">
        <v>54</v>
      </c>
      <c r="E32" s="1630" t="s">
        <v>54</v>
      </c>
      <c r="F32" s="1630" t="s">
        <v>54</v>
      </c>
      <c r="G32" s="1630" t="s">
        <v>54</v>
      </c>
      <c r="H32" s="1630" t="s">
        <v>54</v>
      </c>
      <c r="I32" s="1630" t="s">
        <v>1988</v>
      </c>
      <c r="J32" s="1629" t="s">
        <v>54</v>
      </c>
      <c r="K32" s="1629" t="s">
        <v>54</v>
      </c>
      <c r="L32" s="1630" t="s">
        <v>54</v>
      </c>
      <c r="M32" s="1630">
        <v>9</v>
      </c>
      <c r="N32" s="1630">
        <v>9</v>
      </c>
      <c r="O32" s="123">
        <v>9</v>
      </c>
      <c r="P32" s="1630" t="s">
        <v>54</v>
      </c>
      <c r="Q32" s="1630">
        <v>9</v>
      </c>
      <c r="R32" s="1636" t="s">
        <v>54</v>
      </c>
      <c r="S32" s="1653"/>
      <c r="T32" s="1646" t="s">
        <v>177</v>
      </c>
      <c r="U32" s="1653"/>
      <c r="V32" s="1646" t="s">
        <v>177</v>
      </c>
      <c r="W32" s="1629" t="s">
        <v>54</v>
      </c>
      <c r="X32" s="1629" t="s">
        <v>54</v>
      </c>
      <c r="Y32" s="1629" t="s">
        <v>54</v>
      </c>
      <c r="Z32" s="1629" t="s">
        <v>54</v>
      </c>
      <c r="AA32" s="1629" t="s">
        <v>54</v>
      </c>
      <c r="AB32" s="1629">
        <v>9</v>
      </c>
      <c r="AC32" s="1629" t="s">
        <v>1759</v>
      </c>
      <c r="AD32" s="1629" t="s">
        <v>54</v>
      </c>
      <c r="AE32" s="1629" t="s">
        <v>1761</v>
      </c>
      <c r="AF32" s="1629" t="s">
        <v>54</v>
      </c>
      <c r="AG32" s="1629" t="s">
        <v>54</v>
      </c>
      <c r="AH32" s="1647" t="s">
        <v>54</v>
      </c>
      <c r="AI32" s="1653"/>
      <c r="AJ32" s="1646" t="s">
        <v>177</v>
      </c>
      <c r="AK32" s="1653"/>
      <c r="AL32" s="1646" t="s">
        <v>177</v>
      </c>
      <c r="AM32" s="1630" t="s">
        <v>54</v>
      </c>
      <c r="AN32" s="1636" t="s">
        <v>54</v>
      </c>
      <c r="AO32" s="1651" t="s">
        <v>54</v>
      </c>
      <c r="AP32" s="1630" t="s">
        <v>54</v>
      </c>
      <c r="AQ32" s="1630" t="s">
        <v>54</v>
      </c>
      <c r="AR32" s="1630" t="s">
        <v>54</v>
      </c>
      <c r="AS32" s="1630" t="s">
        <v>54</v>
      </c>
      <c r="AT32" s="1630" t="s">
        <v>54</v>
      </c>
      <c r="AU32" s="1630" t="s">
        <v>54</v>
      </c>
      <c r="AV32" s="1630" t="s">
        <v>54</v>
      </c>
      <c r="AW32" s="1630" t="s">
        <v>54</v>
      </c>
      <c r="AX32" s="1630" t="s">
        <v>54</v>
      </c>
      <c r="AY32" s="1653"/>
      <c r="AZ32" s="1646" t="s">
        <v>177</v>
      </c>
      <c r="BA32" s="1653"/>
      <c r="BB32" s="1646" t="s">
        <v>177</v>
      </c>
      <c r="BC32" s="1630" t="s">
        <v>54</v>
      </c>
      <c r="BD32" s="1630" t="s">
        <v>1594</v>
      </c>
      <c r="BE32" s="1630" t="s">
        <v>54</v>
      </c>
      <c r="BF32" s="1636" t="s">
        <v>54</v>
      </c>
      <c r="BG32" s="1630" t="s">
        <v>54</v>
      </c>
      <c r="BH32" s="1630" t="s">
        <v>2691</v>
      </c>
      <c r="BI32" s="1630" t="s">
        <v>54</v>
      </c>
      <c r="BJ32" s="1647" t="s">
        <v>54</v>
      </c>
      <c r="BK32" s="1653"/>
      <c r="BL32" s="1646" t="s">
        <v>177</v>
      </c>
    </row>
    <row r="33" spans="1:64" ht="20.25" customHeight="1">
      <c r="A33" s="1657" t="s">
        <v>653</v>
      </c>
      <c r="B33" s="1658" t="s">
        <v>804</v>
      </c>
      <c r="C33" s="1623"/>
      <c r="D33" s="1623"/>
      <c r="E33" s="1623"/>
      <c r="F33" s="1623"/>
      <c r="G33" s="1623"/>
      <c r="H33" s="1623"/>
      <c r="I33" s="1623"/>
      <c r="J33" s="1625"/>
      <c r="K33" s="1625"/>
      <c r="L33" s="1623"/>
      <c r="M33" s="1623"/>
      <c r="N33" s="1623"/>
      <c r="O33" s="1623"/>
      <c r="P33" s="1623"/>
      <c r="Q33" s="1626"/>
      <c r="R33" s="1626"/>
      <c r="S33" s="1657" t="s">
        <v>653</v>
      </c>
      <c r="T33" s="1658" t="s">
        <v>804</v>
      </c>
      <c r="U33" s="1657" t="s">
        <v>653</v>
      </c>
      <c r="V33" s="1658" t="s">
        <v>804</v>
      </c>
      <c r="W33" s="1625"/>
      <c r="X33" s="1625"/>
      <c r="Y33" s="1625"/>
      <c r="Z33" s="1625"/>
      <c r="AA33" s="1625"/>
      <c r="AB33" s="1625"/>
      <c r="AC33" s="1625"/>
      <c r="AD33" s="1625"/>
      <c r="AE33" s="1625"/>
      <c r="AF33" s="1625"/>
      <c r="AG33" s="1625"/>
      <c r="AH33" s="1623"/>
      <c r="AI33" s="1657" t="s">
        <v>653</v>
      </c>
      <c r="AJ33" s="1658" t="s">
        <v>804</v>
      </c>
      <c r="AK33" s="1657" t="s">
        <v>653</v>
      </c>
      <c r="AL33" s="1658" t="s">
        <v>804</v>
      </c>
      <c r="AM33" s="1623"/>
      <c r="AN33" s="1626"/>
      <c r="AO33" s="1623"/>
      <c r="AP33" s="1623"/>
      <c r="AQ33" s="1623"/>
      <c r="AR33" s="1623"/>
      <c r="AS33" s="1623"/>
      <c r="AT33" s="1623"/>
      <c r="AU33" s="1623"/>
      <c r="AV33" s="1623"/>
      <c r="AW33" s="1623"/>
      <c r="AX33" s="1623"/>
      <c r="AY33" s="1657" t="s">
        <v>653</v>
      </c>
      <c r="AZ33" s="1658" t="s">
        <v>804</v>
      </c>
      <c r="BA33" s="1657" t="s">
        <v>653</v>
      </c>
      <c r="BB33" s="1658" t="s">
        <v>804</v>
      </c>
      <c r="BC33" s="1623"/>
      <c r="BD33" s="1623"/>
      <c r="BE33" s="1623"/>
      <c r="BF33" s="1626"/>
      <c r="BG33" s="1623"/>
      <c r="BH33" s="1623"/>
      <c r="BI33" s="1623"/>
      <c r="BJ33" s="1623"/>
      <c r="BK33" s="1657" t="s">
        <v>653</v>
      </c>
      <c r="BL33" s="1658" t="s">
        <v>804</v>
      </c>
    </row>
    <row r="34" spans="1:64" ht="11.85" customHeight="1">
      <c r="B34" s="1646" t="s">
        <v>185</v>
      </c>
      <c r="C34" s="1640" t="s">
        <v>1988</v>
      </c>
      <c r="D34" s="123" t="s">
        <v>1988</v>
      </c>
      <c r="E34" s="1629" t="s">
        <v>1988</v>
      </c>
      <c r="F34" s="1630" t="s">
        <v>1988</v>
      </c>
      <c r="G34" s="123">
        <v>9</v>
      </c>
      <c r="H34" s="1630" t="s">
        <v>1988</v>
      </c>
      <c r="I34" s="1630" t="s">
        <v>54</v>
      </c>
      <c r="J34" s="123" t="s">
        <v>1988</v>
      </c>
      <c r="K34" s="123" t="s">
        <v>54</v>
      </c>
      <c r="L34" s="1629">
        <v>9</v>
      </c>
      <c r="M34" s="1629">
        <v>9</v>
      </c>
      <c r="N34" s="1629">
        <v>9</v>
      </c>
      <c r="O34" s="123">
        <v>9</v>
      </c>
      <c r="P34" s="1630">
        <v>9</v>
      </c>
      <c r="Q34" s="1629" t="s">
        <v>1988</v>
      </c>
      <c r="R34" s="1629" t="s">
        <v>1988</v>
      </c>
      <c r="T34" s="1646" t="s">
        <v>176</v>
      </c>
      <c r="V34" s="1646" t="s">
        <v>176</v>
      </c>
      <c r="W34" s="1629">
        <v>9</v>
      </c>
      <c r="X34" s="1629">
        <v>9</v>
      </c>
      <c r="Y34" s="1629">
        <v>9</v>
      </c>
      <c r="Z34" s="1629">
        <v>9</v>
      </c>
      <c r="AA34" s="1640" t="s">
        <v>1988</v>
      </c>
      <c r="AB34" s="1629">
        <v>9</v>
      </c>
      <c r="AC34" s="1629" t="s">
        <v>1759</v>
      </c>
      <c r="AD34" s="1629">
        <v>9</v>
      </c>
      <c r="AE34" s="1629" t="s">
        <v>1761</v>
      </c>
      <c r="AF34" s="1629" t="s">
        <v>1988</v>
      </c>
      <c r="AG34" s="1629">
        <v>9</v>
      </c>
      <c r="AH34" s="1630">
        <v>9</v>
      </c>
      <c r="AJ34" s="1646" t="s">
        <v>176</v>
      </c>
      <c r="AL34" s="1646" t="s">
        <v>176</v>
      </c>
      <c r="AM34" s="1630">
        <v>9</v>
      </c>
      <c r="AN34" s="1630">
        <v>9</v>
      </c>
      <c r="AO34" s="1629" t="s">
        <v>1594</v>
      </c>
      <c r="AP34" s="1630">
        <v>9</v>
      </c>
      <c r="AQ34" s="1630">
        <v>9</v>
      </c>
      <c r="AR34" s="1630">
        <v>9</v>
      </c>
      <c r="AS34" s="1630">
        <v>9</v>
      </c>
      <c r="AT34" s="1630">
        <v>9</v>
      </c>
      <c r="AU34" s="1630">
        <v>9</v>
      </c>
      <c r="AV34" s="1630">
        <v>9</v>
      </c>
      <c r="AW34" s="1630" t="s">
        <v>1759</v>
      </c>
      <c r="AX34" s="1630">
        <v>9</v>
      </c>
      <c r="AZ34" s="1646" t="s">
        <v>176</v>
      </c>
      <c r="BB34" s="1646" t="s">
        <v>176</v>
      </c>
      <c r="BC34" s="1630" t="s">
        <v>1761</v>
      </c>
      <c r="BD34" s="1630" t="s">
        <v>1594</v>
      </c>
      <c r="BE34" s="1630" t="s">
        <v>1594</v>
      </c>
      <c r="BF34" s="1630" t="s">
        <v>1761</v>
      </c>
      <c r="BG34" s="1630">
        <v>9</v>
      </c>
      <c r="BH34" s="1630" t="s">
        <v>54</v>
      </c>
      <c r="BI34" s="1630" t="s">
        <v>1761</v>
      </c>
      <c r="BJ34" s="1630">
        <v>9</v>
      </c>
      <c r="BL34" s="1646" t="s">
        <v>176</v>
      </c>
    </row>
    <row r="35" spans="1:64" ht="11.85" customHeight="1">
      <c r="A35" s="929"/>
      <c r="B35" s="1645" t="s">
        <v>186</v>
      </c>
      <c r="C35" s="1623" t="s">
        <v>54</v>
      </c>
      <c r="D35" s="1650" t="s">
        <v>54</v>
      </c>
      <c r="E35" s="1623" t="s">
        <v>54</v>
      </c>
      <c r="F35" s="1623" t="s">
        <v>54</v>
      </c>
      <c r="G35" s="1623" t="s">
        <v>54</v>
      </c>
      <c r="H35" s="1623" t="s">
        <v>54</v>
      </c>
      <c r="I35" s="1623" t="s">
        <v>1988</v>
      </c>
      <c r="J35" s="1625" t="s">
        <v>54</v>
      </c>
      <c r="K35" s="1625" t="s">
        <v>54</v>
      </c>
      <c r="L35" s="1623" t="s">
        <v>54</v>
      </c>
      <c r="M35" s="1625">
        <v>9</v>
      </c>
      <c r="N35" s="1623">
        <v>9</v>
      </c>
      <c r="O35" s="1623" t="s">
        <v>54</v>
      </c>
      <c r="P35" s="1623" t="s">
        <v>54</v>
      </c>
      <c r="Q35" s="1623">
        <v>9</v>
      </c>
      <c r="R35" s="1623" t="s">
        <v>54</v>
      </c>
      <c r="S35" s="929"/>
      <c r="T35" s="1645" t="s">
        <v>177</v>
      </c>
      <c r="U35" s="929"/>
      <c r="V35" s="1645" t="s">
        <v>177</v>
      </c>
      <c r="W35" s="1625" t="s">
        <v>54</v>
      </c>
      <c r="X35" s="1625" t="s">
        <v>54</v>
      </c>
      <c r="Y35" s="1625" t="s">
        <v>54</v>
      </c>
      <c r="Z35" s="1625" t="s">
        <v>54</v>
      </c>
      <c r="AA35" s="1625" t="s">
        <v>54</v>
      </c>
      <c r="AB35" s="1625" t="s">
        <v>54</v>
      </c>
      <c r="AC35" s="1625" t="s">
        <v>54</v>
      </c>
      <c r="AD35" s="1625" t="s">
        <v>54</v>
      </c>
      <c r="AE35" s="1625" t="s">
        <v>1761</v>
      </c>
      <c r="AF35" s="1625" t="s">
        <v>54</v>
      </c>
      <c r="AG35" s="1625">
        <v>9</v>
      </c>
      <c r="AH35" s="1650" t="s">
        <v>54</v>
      </c>
      <c r="AI35" s="929"/>
      <c r="AJ35" s="1645" t="s">
        <v>177</v>
      </c>
      <c r="AK35" s="929"/>
      <c r="AL35" s="1645" t="s">
        <v>177</v>
      </c>
      <c r="AM35" s="1623" t="s">
        <v>54</v>
      </c>
      <c r="AN35" s="1623" t="s">
        <v>54</v>
      </c>
      <c r="AO35" s="1659" t="s">
        <v>54</v>
      </c>
      <c r="AP35" s="1623" t="s">
        <v>54</v>
      </c>
      <c r="AQ35" s="1623" t="s">
        <v>54</v>
      </c>
      <c r="AR35" s="1623" t="s">
        <v>54</v>
      </c>
      <c r="AS35" s="1623" t="s">
        <v>54</v>
      </c>
      <c r="AT35" s="1623" t="s">
        <v>54</v>
      </c>
      <c r="AU35" s="1623" t="s">
        <v>54</v>
      </c>
      <c r="AV35" s="1623" t="s">
        <v>54</v>
      </c>
      <c r="AW35" s="1623" t="s">
        <v>54</v>
      </c>
      <c r="AX35" s="1623" t="s">
        <v>54</v>
      </c>
      <c r="AY35" s="929"/>
      <c r="AZ35" s="1645" t="s">
        <v>177</v>
      </c>
      <c r="BA35" s="929"/>
      <c r="BB35" s="1645" t="s">
        <v>177</v>
      </c>
      <c r="BC35" s="1623" t="s">
        <v>54</v>
      </c>
      <c r="BD35" s="1623" t="s">
        <v>1594</v>
      </c>
      <c r="BE35" s="1623" t="s">
        <v>54</v>
      </c>
      <c r="BF35" s="1623" t="s">
        <v>54</v>
      </c>
      <c r="BG35" s="1623" t="s">
        <v>54</v>
      </c>
      <c r="BH35" s="1623" t="s">
        <v>54</v>
      </c>
      <c r="BI35" s="1623" t="s">
        <v>54</v>
      </c>
      <c r="BJ35" s="1650" t="s">
        <v>54</v>
      </c>
      <c r="BK35" s="929"/>
      <c r="BL35" s="1645" t="s">
        <v>177</v>
      </c>
    </row>
    <row r="36" spans="1:64" ht="11.85" customHeight="1">
      <c r="A36" s="2180" t="s">
        <v>90</v>
      </c>
      <c r="B36" s="2180"/>
      <c r="C36" s="1630" t="s">
        <v>1987</v>
      </c>
      <c r="D36" s="1630" t="s">
        <v>1987</v>
      </c>
      <c r="E36" s="1630" t="s">
        <v>1987</v>
      </c>
      <c r="F36" s="1630" t="s">
        <v>1987</v>
      </c>
      <c r="G36" s="1630" t="s">
        <v>1987</v>
      </c>
      <c r="H36" s="1630" t="s">
        <v>1987</v>
      </c>
      <c r="I36" s="1630">
        <v>7</v>
      </c>
      <c r="J36" s="1629" t="s">
        <v>1987</v>
      </c>
      <c r="K36" s="1629" t="s">
        <v>54</v>
      </c>
      <c r="L36" s="1630">
        <v>5.5</v>
      </c>
      <c r="M36" s="1630" t="s">
        <v>1987</v>
      </c>
      <c r="N36" s="1630" t="s">
        <v>1987</v>
      </c>
      <c r="O36" s="1630" t="s">
        <v>1987</v>
      </c>
      <c r="P36" s="1630" t="s">
        <v>1987</v>
      </c>
      <c r="Q36" s="1630">
        <v>7</v>
      </c>
      <c r="R36" s="1630" t="s">
        <v>1987</v>
      </c>
      <c r="S36" s="2180" t="s">
        <v>90</v>
      </c>
      <c r="T36" s="2180"/>
      <c r="U36" s="2180" t="s">
        <v>90</v>
      </c>
      <c r="V36" s="2180"/>
      <c r="W36" s="1629" t="s">
        <v>1987</v>
      </c>
      <c r="X36" s="1629" t="s">
        <v>1987</v>
      </c>
      <c r="Y36" s="1629" t="s">
        <v>1987</v>
      </c>
      <c r="Z36" s="1629">
        <v>7</v>
      </c>
      <c r="AA36" s="1629" t="s">
        <v>1987</v>
      </c>
      <c r="AB36" s="1629" t="s">
        <v>1987</v>
      </c>
      <c r="AC36" s="1629" t="s">
        <v>1987</v>
      </c>
      <c r="AD36" s="1629" t="s">
        <v>1987</v>
      </c>
      <c r="AE36" s="1629" t="s">
        <v>1987</v>
      </c>
      <c r="AF36" s="1629" t="s">
        <v>1987</v>
      </c>
      <c r="AG36" s="1629" t="s">
        <v>1987</v>
      </c>
      <c r="AH36" s="1630" t="s">
        <v>1987</v>
      </c>
      <c r="AI36" s="2180" t="s">
        <v>90</v>
      </c>
      <c r="AJ36" s="2180"/>
      <c r="AK36" s="2180" t="s">
        <v>90</v>
      </c>
      <c r="AL36" s="2180"/>
      <c r="AM36" s="1630" t="s">
        <v>1987</v>
      </c>
      <c r="AN36" s="1630">
        <v>7</v>
      </c>
      <c r="AO36" s="1630" t="s">
        <v>1987</v>
      </c>
      <c r="AP36" s="1630" t="s">
        <v>1987</v>
      </c>
      <c r="AQ36" s="1630" t="s">
        <v>1987</v>
      </c>
      <c r="AR36" s="1630" t="s">
        <v>1987</v>
      </c>
      <c r="AS36" s="1630" t="s">
        <v>1987</v>
      </c>
      <c r="AT36" s="1630" t="s">
        <v>1987</v>
      </c>
      <c r="AU36" s="1630" t="s">
        <v>1987</v>
      </c>
      <c r="AV36" s="1630">
        <v>7</v>
      </c>
      <c r="AW36" s="1630" t="s">
        <v>54</v>
      </c>
      <c r="AX36" s="1630">
        <v>7</v>
      </c>
      <c r="AY36" s="2180" t="s">
        <v>90</v>
      </c>
      <c r="AZ36" s="2180"/>
      <c r="BA36" s="2180" t="s">
        <v>90</v>
      </c>
      <c r="BB36" s="2180"/>
      <c r="BC36" s="1630" t="s">
        <v>1987</v>
      </c>
      <c r="BD36" s="1630" t="s">
        <v>1987</v>
      </c>
      <c r="BE36" s="1630" t="s">
        <v>2530</v>
      </c>
      <c r="BF36" s="1630" t="s">
        <v>1987</v>
      </c>
      <c r="BG36" s="1630">
        <v>9</v>
      </c>
      <c r="BH36" s="1630" t="s">
        <v>54</v>
      </c>
      <c r="BI36" s="1630" t="s">
        <v>1987</v>
      </c>
      <c r="BJ36" s="1630" t="s">
        <v>54</v>
      </c>
      <c r="BK36" s="2180" t="s">
        <v>90</v>
      </c>
      <c r="BL36" s="2180"/>
    </row>
    <row r="37" spans="1:64" ht="11.85" customHeight="1">
      <c r="A37" s="2189" t="s">
        <v>189</v>
      </c>
      <c r="B37" s="2189"/>
      <c r="C37" s="1623"/>
      <c r="D37" s="1623"/>
      <c r="E37" s="1623"/>
      <c r="F37" s="1623"/>
      <c r="G37" s="1623"/>
      <c r="H37" s="1623"/>
      <c r="I37" s="1623"/>
      <c r="J37" s="1625"/>
      <c r="K37" s="1625"/>
      <c r="L37" s="1623"/>
      <c r="M37" s="1623"/>
      <c r="N37" s="1623"/>
      <c r="O37" s="1623"/>
      <c r="P37" s="1623"/>
      <c r="Q37" s="1626"/>
      <c r="R37" s="1626"/>
      <c r="S37" s="2189" t="s">
        <v>189</v>
      </c>
      <c r="T37" s="2189"/>
      <c r="U37" s="2189" t="s">
        <v>189</v>
      </c>
      <c r="V37" s="2189"/>
      <c r="W37" s="1625"/>
      <c r="X37" s="1625"/>
      <c r="Y37" s="1625"/>
      <c r="Z37" s="1625"/>
      <c r="AA37" s="1625"/>
      <c r="AB37" s="1624"/>
      <c r="AC37" s="1624"/>
      <c r="AD37" s="1624"/>
      <c r="AE37" s="1624"/>
      <c r="AF37" s="1624"/>
      <c r="AG37" s="1625"/>
      <c r="AH37" s="1626"/>
      <c r="AI37" s="2189" t="s">
        <v>189</v>
      </c>
      <c r="AJ37" s="2189"/>
      <c r="AK37" s="2189" t="s">
        <v>189</v>
      </c>
      <c r="AL37" s="2189"/>
      <c r="AM37" s="1626"/>
      <c r="AN37" s="1626"/>
      <c r="AO37" s="1626"/>
      <c r="AP37" s="1623"/>
      <c r="AQ37" s="1623"/>
      <c r="AR37" s="1623"/>
      <c r="AS37" s="1623"/>
      <c r="AT37" s="1623"/>
      <c r="AU37" s="1623"/>
      <c r="AV37" s="1623"/>
      <c r="AW37" s="1623"/>
      <c r="AX37" s="1623"/>
      <c r="AY37" s="2189" t="s">
        <v>189</v>
      </c>
      <c r="AZ37" s="2189"/>
      <c r="BA37" s="2189" t="s">
        <v>189</v>
      </c>
      <c r="BB37" s="2189"/>
      <c r="BC37" s="1623"/>
      <c r="BD37" s="1623"/>
      <c r="BE37" s="1623"/>
      <c r="BF37" s="1626"/>
      <c r="BG37" s="1623"/>
      <c r="BH37" s="1623"/>
      <c r="BI37" s="1623"/>
      <c r="BJ37" s="1623"/>
      <c r="BK37" s="2189" t="s">
        <v>189</v>
      </c>
      <c r="BL37" s="2189"/>
    </row>
    <row r="38" spans="1:64" ht="11.85" customHeight="1">
      <c r="B38" s="1646" t="s">
        <v>176</v>
      </c>
      <c r="C38" s="123" t="s">
        <v>1988</v>
      </c>
      <c r="D38" s="1630" t="s">
        <v>1988</v>
      </c>
      <c r="E38" s="1629" t="s">
        <v>1988</v>
      </c>
      <c r="F38" s="1630">
        <v>9</v>
      </c>
      <c r="G38" s="123">
        <v>9</v>
      </c>
      <c r="H38" s="123" t="s">
        <v>1988</v>
      </c>
      <c r="I38" s="1630" t="s">
        <v>1988</v>
      </c>
      <c r="J38" s="1629" t="s">
        <v>1988</v>
      </c>
      <c r="K38" s="1629" t="s">
        <v>54</v>
      </c>
      <c r="L38" s="1630">
        <v>9</v>
      </c>
      <c r="M38" s="1630">
        <v>9</v>
      </c>
      <c r="N38" s="1629">
        <v>9</v>
      </c>
      <c r="O38" s="123">
        <v>9</v>
      </c>
      <c r="P38" s="1630">
        <v>9</v>
      </c>
      <c r="Q38" s="1629">
        <v>9</v>
      </c>
      <c r="R38" s="1629">
        <v>9</v>
      </c>
      <c r="T38" s="1646" t="s">
        <v>176</v>
      </c>
      <c r="V38" s="1646" t="s">
        <v>176</v>
      </c>
      <c r="W38" s="1629">
        <v>9</v>
      </c>
      <c r="X38" s="1629">
        <v>9</v>
      </c>
      <c r="Y38" s="1629">
        <v>9</v>
      </c>
      <c r="Z38" s="1629" t="s">
        <v>54</v>
      </c>
      <c r="AA38" s="1629" t="s">
        <v>1988</v>
      </c>
      <c r="AB38" s="1629">
        <v>9</v>
      </c>
      <c r="AC38" s="1629" t="s">
        <v>1759</v>
      </c>
      <c r="AD38" s="1629">
        <v>9</v>
      </c>
      <c r="AE38" s="1629" t="s">
        <v>1761</v>
      </c>
      <c r="AF38" s="1640">
        <v>9</v>
      </c>
      <c r="AG38" s="1629">
        <v>9</v>
      </c>
      <c r="AH38" s="1630">
        <v>9</v>
      </c>
      <c r="AJ38" s="1646" t="s">
        <v>176</v>
      </c>
      <c r="AL38" s="1646" t="s">
        <v>176</v>
      </c>
      <c r="AM38" s="1630">
        <v>9</v>
      </c>
      <c r="AN38" s="1630">
        <v>9</v>
      </c>
      <c r="AO38" s="1629" t="s">
        <v>1594</v>
      </c>
      <c r="AP38" s="1630">
        <v>9</v>
      </c>
      <c r="AQ38" s="1630">
        <v>9</v>
      </c>
      <c r="AR38" s="1630">
        <v>9</v>
      </c>
      <c r="AS38" s="1630">
        <v>9</v>
      </c>
      <c r="AT38" s="1630">
        <v>9</v>
      </c>
      <c r="AU38" s="1630">
        <v>9</v>
      </c>
      <c r="AV38" s="1630">
        <v>9</v>
      </c>
      <c r="AW38" s="1630" t="s">
        <v>54</v>
      </c>
      <c r="AX38" s="1630">
        <v>9</v>
      </c>
      <c r="AZ38" s="1646" t="s">
        <v>176</v>
      </c>
      <c r="BB38" s="1646" t="s">
        <v>176</v>
      </c>
      <c r="BC38" s="1630" t="s">
        <v>1761</v>
      </c>
      <c r="BD38" s="1630" t="s">
        <v>1594</v>
      </c>
      <c r="BE38" s="1630" t="s">
        <v>1594</v>
      </c>
      <c r="BF38" s="1630" t="s">
        <v>1761</v>
      </c>
      <c r="BG38" s="1630">
        <v>9</v>
      </c>
      <c r="BH38" s="1630" t="s">
        <v>1594</v>
      </c>
      <c r="BI38" s="1630" t="s">
        <v>1759</v>
      </c>
      <c r="BJ38" s="1630" t="s">
        <v>54</v>
      </c>
      <c r="BL38" s="1646" t="s">
        <v>176</v>
      </c>
    </row>
    <row r="39" spans="1:64" ht="11.85" customHeight="1">
      <c r="A39" s="929"/>
      <c r="B39" s="1645" t="s">
        <v>177</v>
      </c>
      <c r="C39" s="1623" t="s">
        <v>54</v>
      </c>
      <c r="D39" s="1623" t="s">
        <v>54</v>
      </c>
      <c r="E39" s="1623" t="s">
        <v>54</v>
      </c>
      <c r="F39" s="1623" t="s">
        <v>54</v>
      </c>
      <c r="G39" s="1623" t="s">
        <v>54</v>
      </c>
      <c r="H39" s="1623" t="s">
        <v>54</v>
      </c>
      <c r="I39" s="1623" t="s">
        <v>54</v>
      </c>
      <c r="J39" s="1625" t="s">
        <v>54</v>
      </c>
      <c r="K39" s="1625" t="s">
        <v>54</v>
      </c>
      <c r="L39" s="1623">
        <v>9</v>
      </c>
      <c r="M39" s="1623">
        <v>9</v>
      </c>
      <c r="N39" s="1625">
        <v>9</v>
      </c>
      <c r="O39" s="1648">
        <v>9</v>
      </c>
      <c r="P39" s="1623" t="s">
        <v>54</v>
      </c>
      <c r="Q39" s="1623">
        <v>9</v>
      </c>
      <c r="R39" s="1626" t="s">
        <v>54</v>
      </c>
      <c r="S39" s="929"/>
      <c r="T39" s="1645" t="s">
        <v>177</v>
      </c>
      <c r="U39" s="929"/>
      <c r="V39" s="1645" t="s">
        <v>177</v>
      </c>
      <c r="W39" s="1625" t="s">
        <v>54</v>
      </c>
      <c r="X39" s="1625" t="s">
        <v>54</v>
      </c>
      <c r="Y39" s="1625" t="s">
        <v>54</v>
      </c>
      <c r="Z39" s="1625">
        <v>9</v>
      </c>
      <c r="AA39" s="1625" t="s">
        <v>54</v>
      </c>
      <c r="AB39" s="1625">
        <v>9</v>
      </c>
      <c r="AC39" s="1625" t="s">
        <v>54</v>
      </c>
      <c r="AD39" s="1624" t="s">
        <v>54</v>
      </c>
      <c r="AE39" s="1660" t="s">
        <v>54</v>
      </c>
      <c r="AF39" s="1624" t="s">
        <v>54</v>
      </c>
      <c r="AG39" s="1625">
        <v>9</v>
      </c>
      <c r="AH39" s="1650" t="s">
        <v>54</v>
      </c>
      <c r="AI39" s="929"/>
      <c r="AJ39" s="1645" t="s">
        <v>177</v>
      </c>
      <c r="AK39" s="929"/>
      <c r="AL39" s="1645" t="s">
        <v>177</v>
      </c>
      <c r="AM39" s="1623" t="s">
        <v>54</v>
      </c>
      <c r="AN39" s="1626" t="s">
        <v>54</v>
      </c>
      <c r="AO39" s="1659" t="s">
        <v>54</v>
      </c>
      <c r="AP39" s="1623" t="s">
        <v>54</v>
      </c>
      <c r="AQ39" s="1623" t="s">
        <v>54</v>
      </c>
      <c r="AR39" s="1623">
        <v>9</v>
      </c>
      <c r="AS39" s="1623" t="s">
        <v>54</v>
      </c>
      <c r="AT39" s="1623" t="s">
        <v>54</v>
      </c>
      <c r="AU39" s="1623" t="s">
        <v>54</v>
      </c>
      <c r="AV39" s="1623" t="s">
        <v>54</v>
      </c>
      <c r="AW39" s="1623" t="s">
        <v>54</v>
      </c>
      <c r="AX39" s="1623">
        <v>9</v>
      </c>
      <c r="AY39" s="929"/>
      <c r="AZ39" s="1645" t="s">
        <v>177</v>
      </c>
      <c r="BA39" s="929"/>
      <c r="BB39" s="1645" t="s">
        <v>177</v>
      </c>
      <c r="BC39" s="1623" t="s">
        <v>54</v>
      </c>
      <c r="BD39" s="1623" t="s">
        <v>1594</v>
      </c>
      <c r="BE39" s="1623" t="s">
        <v>54</v>
      </c>
      <c r="BF39" s="1626" t="s">
        <v>54</v>
      </c>
      <c r="BG39" s="1623" t="s">
        <v>54</v>
      </c>
      <c r="BH39" s="1623" t="s">
        <v>1594</v>
      </c>
      <c r="BI39" s="1623" t="s">
        <v>54</v>
      </c>
      <c r="BJ39" s="1623" t="s">
        <v>54</v>
      </c>
      <c r="BK39" s="929"/>
      <c r="BL39" s="1645" t="s">
        <v>177</v>
      </c>
    </row>
    <row r="40" spans="1:64" ht="11.85" customHeight="1">
      <c r="A40" s="2180" t="s">
        <v>190</v>
      </c>
      <c r="B40" s="2180"/>
      <c r="C40" s="1630"/>
      <c r="D40" s="1630"/>
      <c r="E40" s="1630"/>
      <c r="F40" s="1630"/>
      <c r="G40" s="1630"/>
      <c r="H40" s="1641"/>
      <c r="I40" s="1630"/>
      <c r="J40" s="1629"/>
      <c r="K40" s="1629"/>
      <c r="L40" s="1630"/>
      <c r="M40" s="1630"/>
      <c r="N40" s="1630"/>
      <c r="O40" s="1630"/>
      <c r="P40" s="1630"/>
      <c r="Q40" s="1636"/>
      <c r="R40" s="1636"/>
      <c r="S40" s="2180" t="s">
        <v>190</v>
      </c>
      <c r="T40" s="2180"/>
      <c r="U40" s="2180" t="s">
        <v>190</v>
      </c>
      <c r="V40" s="2180"/>
      <c r="W40" s="1629"/>
      <c r="X40" s="1629"/>
      <c r="Y40" s="1629"/>
      <c r="Z40" s="1629"/>
      <c r="AA40" s="1629"/>
      <c r="AB40" s="1643"/>
      <c r="AC40" s="1643"/>
      <c r="AD40" s="1643"/>
      <c r="AE40" s="1643"/>
      <c r="AF40" s="1643"/>
      <c r="AG40" s="1643"/>
      <c r="AH40" s="1630"/>
      <c r="AI40" s="2180" t="s">
        <v>190</v>
      </c>
      <c r="AJ40" s="2180"/>
      <c r="AK40" s="2180" t="s">
        <v>190</v>
      </c>
      <c r="AL40" s="2180"/>
      <c r="AM40" s="1630"/>
      <c r="AN40" s="1636"/>
      <c r="AO40" s="1630"/>
      <c r="AP40" s="1630"/>
      <c r="AQ40" s="1630"/>
      <c r="AR40" s="1630"/>
      <c r="AS40" s="1630"/>
      <c r="AT40" s="1630"/>
      <c r="AU40" s="1630"/>
      <c r="AV40" s="1630"/>
      <c r="AW40" s="1630"/>
      <c r="AX40" s="1630"/>
      <c r="AY40" s="2180" t="s">
        <v>190</v>
      </c>
      <c r="AZ40" s="2180"/>
      <c r="BA40" s="2180" t="s">
        <v>190</v>
      </c>
      <c r="BB40" s="2180"/>
      <c r="BC40" s="1630"/>
      <c r="BD40" s="1630"/>
      <c r="BE40" s="1630"/>
      <c r="BF40" s="1636" t="s">
        <v>834</v>
      </c>
      <c r="BG40" s="1630"/>
      <c r="BH40" s="1630"/>
      <c r="BI40" s="1630"/>
      <c r="BJ40" s="1630"/>
      <c r="BK40" s="2180" t="s">
        <v>190</v>
      </c>
      <c r="BL40" s="2180"/>
    </row>
    <row r="41" spans="1:64" ht="11.85" customHeight="1">
      <c r="A41" s="929"/>
      <c r="B41" s="1645" t="s">
        <v>176</v>
      </c>
      <c r="C41" s="1648" t="s">
        <v>1988</v>
      </c>
      <c r="D41" s="1648" t="s">
        <v>1988</v>
      </c>
      <c r="E41" s="1625" t="s">
        <v>1988</v>
      </c>
      <c r="F41" s="1625" t="s">
        <v>1757</v>
      </c>
      <c r="G41" s="1623">
        <v>9</v>
      </c>
      <c r="H41" s="1625" t="s">
        <v>1988</v>
      </c>
      <c r="I41" s="1623" t="s">
        <v>54</v>
      </c>
      <c r="J41" s="1625" t="s">
        <v>54</v>
      </c>
      <c r="K41" s="1625" t="s">
        <v>54</v>
      </c>
      <c r="L41" s="1623">
        <v>9</v>
      </c>
      <c r="M41" s="1623">
        <v>9</v>
      </c>
      <c r="N41" s="1625">
        <v>9</v>
      </c>
      <c r="O41" s="1625">
        <v>9</v>
      </c>
      <c r="P41" s="1623">
        <v>9</v>
      </c>
      <c r="Q41" s="1648">
        <v>9</v>
      </c>
      <c r="R41" s="1625">
        <v>9</v>
      </c>
      <c r="S41" s="929"/>
      <c r="T41" s="1645" t="s">
        <v>176</v>
      </c>
      <c r="U41" s="929"/>
      <c r="V41" s="1645" t="s">
        <v>176</v>
      </c>
      <c r="W41" s="1625" t="s">
        <v>1761</v>
      </c>
      <c r="X41" s="1625">
        <v>9</v>
      </c>
      <c r="Y41" s="1625">
        <v>9</v>
      </c>
      <c r="Z41" s="1625">
        <v>9</v>
      </c>
      <c r="AA41" s="1625" t="s">
        <v>1988</v>
      </c>
      <c r="AB41" s="1625">
        <v>9</v>
      </c>
      <c r="AC41" s="1625" t="s">
        <v>1759</v>
      </c>
      <c r="AD41" s="1625">
        <v>9</v>
      </c>
      <c r="AE41" s="1625" t="s">
        <v>1761</v>
      </c>
      <c r="AF41" s="1625">
        <v>9</v>
      </c>
      <c r="AG41" s="1625">
        <v>9</v>
      </c>
      <c r="AH41" s="1623">
        <v>9</v>
      </c>
      <c r="AI41" s="929"/>
      <c r="AJ41" s="1645" t="s">
        <v>176</v>
      </c>
      <c r="AK41" s="929"/>
      <c r="AL41" s="1645" t="s">
        <v>176</v>
      </c>
      <c r="AM41" s="1623">
        <v>9</v>
      </c>
      <c r="AN41" s="1623">
        <v>9</v>
      </c>
      <c r="AO41" s="1623" t="s">
        <v>1594</v>
      </c>
      <c r="AP41" s="1623">
        <v>9</v>
      </c>
      <c r="AQ41" s="1623">
        <v>9</v>
      </c>
      <c r="AR41" s="1623">
        <v>9</v>
      </c>
      <c r="AS41" s="1623">
        <v>9</v>
      </c>
      <c r="AT41" s="1623">
        <v>9</v>
      </c>
      <c r="AU41" s="1623">
        <v>9</v>
      </c>
      <c r="AV41" s="1623">
        <v>9</v>
      </c>
      <c r="AW41" s="1623" t="s">
        <v>2529</v>
      </c>
      <c r="AX41" s="1623">
        <v>9</v>
      </c>
      <c r="AY41" s="929"/>
      <c r="AZ41" s="1645" t="s">
        <v>176</v>
      </c>
      <c r="BA41" s="929"/>
      <c r="BB41" s="1645" t="s">
        <v>176</v>
      </c>
      <c r="BC41" s="1623" t="s">
        <v>1761</v>
      </c>
      <c r="BD41" s="1623">
        <v>9</v>
      </c>
      <c r="BE41" s="1623" t="s">
        <v>1594</v>
      </c>
      <c r="BF41" s="1638" t="s">
        <v>54</v>
      </c>
      <c r="BG41" s="1623">
        <v>9</v>
      </c>
      <c r="BH41" s="1623" t="s">
        <v>54</v>
      </c>
      <c r="BI41" s="1623" t="s">
        <v>2562</v>
      </c>
      <c r="BJ41" s="1623">
        <v>9</v>
      </c>
      <c r="BK41" s="929"/>
      <c r="BL41" s="1645" t="s">
        <v>176</v>
      </c>
    </row>
    <row r="42" spans="1:64" ht="11.85" customHeight="1">
      <c r="B42" s="1646" t="s">
        <v>177</v>
      </c>
      <c r="C42" s="123" t="s">
        <v>54</v>
      </c>
      <c r="D42" s="1661" t="s">
        <v>1988</v>
      </c>
      <c r="E42" s="1630" t="s">
        <v>54</v>
      </c>
      <c r="F42" s="1630" t="s">
        <v>54</v>
      </c>
      <c r="G42" s="1630" t="s">
        <v>54</v>
      </c>
      <c r="H42" s="1641" t="s">
        <v>54</v>
      </c>
      <c r="I42" s="1630" t="s">
        <v>54</v>
      </c>
      <c r="J42" s="1629" t="s">
        <v>54</v>
      </c>
      <c r="K42" s="1629" t="s">
        <v>54</v>
      </c>
      <c r="L42" s="1630">
        <v>9</v>
      </c>
      <c r="M42" s="1630" t="s">
        <v>54</v>
      </c>
      <c r="N42" s="1630" t="s">
        <v>54</v>
      </c>
      <c r="O42" s="1630">
        <v>9</v>
      </c>
      <c r="P42" s="1636" t="s">
        <v>54</v>
      </c>
      <c r="Q42" s="1630" t="s">
        <v>54</v>
      </c>
      <c r="R42" s="1630" t="s">
        <v>54</v>
      </c>
      <c r="T42" s="1646" t="s">
        <v>177</v>
      </c>
      <c r="V42" s="1646" t="s">
        <v>177</v>
      </c>
      <c r="W42" s="1629" t="s">
        <v>54</v>
      </c>
      <c r="X42" s="1629" t="s">
        <v>54</v>
      </c>
      <c r="Y42" s="1629" t="s">
        <v>54</v>
      </c>
      <c r="Z42" s="1629" t="s">
        <v>54</v>
      </c>
      <c r="AA42" s="1629" t="s">
        <v>54</v>
      </c>
      <c r="AB42" s="1629">
        <v>9</v>
      </c>
      <c r="AC42" s="1629" t="s">
        <v>54</v>
      </c>
      <c r="AD42" s="1629" t="s">
        <v>54</v>
      </c>
      <c r="AE42" s="1629" t="s">
        <v>54</v>
      </c>
      <c r="AF42" s="1629" t="s">
        <v>54</v>
      </c>
      <c r="AG42" s="1629">
        <v>9</v>
      </c>
      <c r="AH42" s="1647" t="s">
        <v>54</v>
      </c>
      <c r="AJ42" s="1646" t="s">
        <v>177</v>
      </c>
      <c r="AL42" s="1646" t="s">
        <v>177</v>
      </c>
      <c r="AM42" s="1630">
        <v>9</v>
      </c>
      <c r="AN42" s="1630">
        <v>9</v>
      </c>
      <c r="AO42" s="1651" t="s">
        <v>54</v>
      </c>
      <c r="AP42" s="1630" t="s">
        <v>54</v>
      </c>
      <c r="AQ42" s="1630" t="s">
        <v>54</v>
      </c>
      <c r="AR42" s="1630" t="s">
        <v>54</v>
      </c>
      <c r="AS42" s="1630" t="s">
        <v>54</v>
      </c>
      <c r="AT42" s="1630" t="s">
        <v>54</v>
      </c>
      <c r="AU42" s="1630" t="s">
        <v>54</v>
      </c>
      <c r="AV42" s="1630" t="s">
        <v>54</v>
      </c>
      <c r="AW42" s="1630" t="s">
        <v>54</v>
      </c>
      <c r="AX42" s="1630" t="s">
        <v>54</v>
      </c>
      <c r="AZ42" s="1646" t="s">
        <v>177</v>
      </c>
      <c r="BB42" s="1646" t="s">
        <v>177</v>
      </c>
      <c r="BC42" s="1630" t="s">
        <v>54</v>
      </c>
      <c r="BD42" s="1641" t="s">
        <v>54</v>
      </c>
      <c r="BE42" s="1630" t="s">
        <v>54</v>
      </c>
      <c r="BF42" s="1636" t="s">
        <v>54</v>
      </c>
      <c r="BG42" s="1630" t="s">
        <v>54</v>
      </c>
      <c r="BH42" s="1630" t="s">
        <v>54</v>
      </c>
      <c r="BI42" s="1630" t="s">
        <v>54</v>
      </c>
      <c r="BJ42" s="1647" t="s">
        <v>54</v>
      </c>
      <c r="BL42" s="1646" t="s">
        <v>177</v>
      </c>
    </row>
    <row r="43" spans="1:64" ht="11.85" customHeight="1">
      <c r="A43" s="2189" t="s">
        <v>191</v>
      </c>
      <c r="B43" s="2189"/>
      <c r="C43" s="1623"/>
      <c r="D43" s="1623"/>
      <c r="E43" s="1623"/>
      <c r="F43" s="1623"/>
      <c r="G43" s="1623"/>
      <c r="H43" s="1623"/>
      <c r="I43" s="1623"/>
      <c r="J43" s="1625"/>
      <c r="K43" s="1625"/>
      <c r="L43" s="1623"/>
      <c r="M43" s="1623"/>
      <c r="N43" s="1623"/>
      <c r="O43" s="1623"/>
      <c r="P43" s="1626"/>
      <c r="Q43" s="1623"/>
      <c r="R43" s="1626"/>
      <c r="S43" s="2189" t="s">
        <v>191</v>
      </c>
      <c r="T43" s="2189"/>
      <c r="U43" s="2189" t="s">
        <v>191</v>
      </c>
      <c r="V43" s="2189"/>
      <c r="W43" s="1625"/>
      <c r="X43" s="1625"/>
      <c r="Y43" s="1625"/>
      <c r="Z43" s="1625"/>
      <c r="AA43" s="1625"/>
      <c r="AB43" s="1625"/>
      <c r="AC43" s="1625"/>
      <c r="AD43" s="1625"/>
      <c r="AE43" s="1625"/>
      <c r="AF43" s="1625"/>
      <c r="AG43" s="1625"/>
      <c r="AH43" s="1623"/>
      <c r="AI43" s="2189" t="s">
        <v>191</v>
      </c>
      <c r="AJ43" s="2189"/>
      <c r="AK43" s="2189" t="s">
        <v>191</v>
      </c>
      <c r="AL43" s="2189"/>
      <c r="AM43" s="1623"/>
      <c r="AN43" s="1626"/>
      <c r="AO43" s="1626"/>
      <c r="AP43" s="1623"/>
      <c r="AQ43" s="1623"/>
      <c r="AR43" s="1623"/>
      <c r="AS43" s="1623"/>
      <c r="AT43" s="1623"/>
      <c r="AU43" s="1623"/>
      <c r="AV43" s="1623"/>
      <c r="AW43" s="1623"/>
      <c r="AX43" s="1623"/>
      <c r="AY43" s="2189" t="s">
        <v>191</v>
      </c>
      <c r="AZ43" s="2189"/>
      <c r="BA43" s="2189" t="s">
        <v>191</v>
      </c>
      <c r="BB43" s="2189"/>
      <c r="BC43" s="1623"/>
      <c r="BD43" s="1623"/>
      <c r="BE43" s="1623"/>
      <c r="BF43" s="1626"/>
      <c r="BG43" s="1623"/>
      <c r="BH43" s="1623"/>
      <c r="BI43" s="1623"/>
      <c r="BJ43" s="1623"/>
      <c r="BK43" s="2189" t="s">
        <v>191</v>
      </c>
      <c r="BL43" s="2189"/>
    </row>
    <row r="44" spans="1:64" s="14" customFormat="1" ht="11.85" customHeight="1">
      <c r="A44" s="8"/>
      <c r="B44" s="1646" t="s">
        <v>176</v>
      </c>
      <c r="C44" s="1630">
        <v>9</v>
      </c>
      <c r="D44" s="1630">
        <v>9</v>
      </c>
      <c r="E44" s="1629" t="s">
        <v>1988</v>
      </c>
      <c r="F44" s="1630">
        <v>9</v>
      </c>
      <c r="G44" s="1629">
        <v>9</v>
      </c>
      <c r="H44" s="1647" t="s">
        <v>54</v>
      </c>
      <c r="I44" s="1630" t="s">
        <v>1988</v>
      </c>
      <c r="J44" s="1629">
        <v>9</v>
      </c>
      <c r="K44" s="1629" t="s">
        <v>54</v>
      </c>
      <c r="L44" s="1630">
        <v>9</v>
      </c>
      <c r="M44" s="1630">
        <v>9</v>
      </c>
      <c r="N44" s="1629">
        <v>9</v>
      </c>
      <c r="O44" s="123">
        <v>9</v>
      </c>
      <c r="P44" s="1630">
        <v>9</v>
      </c>
      <c r="Q44" s="1629">
        <v>9</v>
      </c>
      <c r="R44" s="123">
        <v>9</v>
      </c>
      <c r="S44" s="8"/>
      <c r="T44" s="1646" t="s">
        <v>176</v>
      </c>
      <c r="U44" s="8"/>
      <c r="V44" s="1646" t="s">
        <v>176</v>
      </c>
      <c r="W44" s="1629" t="s">
        <v>1761</v>
      </c>
      <c r="X44" s="1629">
        <v>9</v>
      </c>
      <c r="Y44" s="1629">
        <v>9</v>
      </c>
      <c r="Z44" s="1629">
        <v>9</v>
      </c>
      <c r="AA44" s="1629">
        <v>9</v>
      </c>
      <c r="AB44" s="1629">
        <v>9</v>
      </c>
      <c r="AC44" s="1629" t="s">
        <v>1759</v>
      </c>
      <c r="AD44" s="1629">
        <v>9</v>
      </c>
      <c r="AE44" s="1629" t="s">
        <v>1761</v>
      </c>
      <c r="AF44" s="1640">
        <v>9</v>
      </c>
      <c r="AG44" s="1629">
        <v>9</v>
      </c>
      <c r="AH44" s="1630">
        <v>9</v>
      </c>
      <c r="AI44" s="8"/>
      <c r="AJ44" s="1646" t="s">
        <v>176</v>
      </c>
      <c r="AK44" s="8"/>
      <c r="AL44" s="1646" t="s">
        <v>176</v>
      </c>
      <c r="AM44" s="1630">
        <v>9</v>
      </c>
      <c r="AN44" s="1630">
        <v>9</v>
      </c>
      <c r="AO44" s="1629" t="s">
        <v>1594</v>
      </c>
      <c r="AP44" s="1630">
        <v>9</v>
      </c>
      <c r="AQ44" s="1630">
        <v>9</v>
      </c>
      <c r="AR44" s="1630">
        <v>9</v>
      </c>
      <c r="AS44" s="1630" t="s">
        <v>2587</v>
      </c>
      <c r="AT44" s="1630">
        <v>9</v>
      </c>
      <c r="AU44" s="1630" t="s">
        <v>2587</v>
      </c>
      <c r="AV44" s="1630">
        <v>9</v>
      </c>
      <c r="AW44" s="1630">
        <v>9</v>
      </c>
      <c r="AX44" s="1630">
        <v>9</v>
      </c>
      <c r="AY44" s="8"/>
      <c r="AZ44" s="1646" t="s">
        <v>176</v>
      </c>
      <c r="BA44" s="8"/>
      <c r="BB44" s="1646" t="s">
        <v>176</v>
      </c>
      <c r="BC44" s="1630">
        <v>9</v>
      </c>
      <c r="BD44" s="1630" t="s">
        <v>1594</v>
      </c>
      <c r="BE44" s="1630" t="s">
        <v>1594</v>
      </c>
      <c r="BF44" s="1647" t="s">
        <v>54</v>
      </c>
      <c r="BG44" s="1630">
        <v>6.75</v>
      </c>
      <c r="BH44" s="1630" t="s">
        <v>54</v>
      </c>
      <c r="BI44" s="1630" t="s">
        <v>2563</v>
      </c>
      <c r="BJ44" s="1630">
        <v>9</v>
      </c>
      <c r="BK44" s="8"/>
      <c r="BL44" s="1646" t="s">
        <v>176</v>
      </c>
    </row>
    <row r="45" spans="1:64" ht="11.85" customHeight="1">
      <c r="A45" s="929"/>
      <c r="B45" s="1645" t="s">
        <v>177</v>
      </c>
      <c r="C45" s="1623" t="s">
        <v>54</v>
      </c>
      <c r="D45" s="1623" t="s">
        <v>54</v>
      </c>
      <c r="E45" s="1623" t="s">
        <v>54</v>
      </c>
      <c r="F45" s="1623" t="s">
        <v>54</v>
      </c>
      <c r="G45" s="1623" t="s">
        <v>54</v>
      </c>
      <c r="H45" s="1625">
        <v>9</v>
      </c>
      <c r="I45" s="1623" t="s">
        <v>54</v>
      </c>
      <c r="J45" s="1623" t="s">
        <v>54</v>
      </c>
      <c r="K45" s="1623" t="s">
        <v>54</v>
      </c>
      <c r="L45" s="1623">
        <v>9</v>
      </c>
      <c r="M45" s="1623">
        <v>9</v>
      </c>
      <c r="N45" s="1623" t="s">
        <v>54</v>
      </c>
      <c r="O45" s="1648">
        <v>9</v>
      </c>
      <c r="P45" s="1626" t="s">
        <v>54</v>
      </c>
      <c r="Q45" s="1626" t="s">
        <v>54</v>
      </c>
      <c r="R45" s="1626" t="s">
        <v>54</v>
      </c>
      <c r="S45" s="929"/>
      <c r="T45" s="1645" t="s">
        <v>177</v>
      </c>
      <c r="U45" s="929"/>
      <c r="V45" s="1645" t="s">
        <v>177</v>
      </c>
      <c r="W45" s="1625" t="s">
        <v>54</v>
      </c>
      <c r="X45" s="1625" t="s">
        <v>54</v>
      </c>
      <c r="Y45" s="1625" t="s">
        <v>54</v>
      </c>
      <c r="Z45" s="1625" t="s">
        <v>54</v>
      </c>
      <c r="AA45" s="1625" t="s">
        <v>54</v>
      </c>
      <c r="AB45" s="1625">
        <v>9</v>
      </c>
      <c r="AC45" s="1625" t="s">
        <v>54</v>
      </c>
      <c r="AD45" s="1625" t="s">
        <v>54</v>
      </c>
      <c r="AE45" s="1625" t="s">
        <v>54</v>
      </c>
      <c r="AF45" s="1625" t="s">
        <v>54</v>
      </c>
      <c r="AG45" s="1625">
        <v>9</v>
      </c>
      <c r="AH45" s="1650" t="s">
        <v>54</v>
      </c>
      <c r="AI45" s="929"/>
      <c r="AJ45" s="1645" t="s">
        <v>177</v>
      </c>
      <c r="AK45" s="929"/>
      <c r="AL45" s="1645" t="s">
        <v>177</v>
      </c>
      <c r="AM45" s="1623" t="s">
        <v>54</v>
      </c>
      <c r="AN45" s="1623" t="s">
        <v>54</v>
      </c>
      <c r="AO45" s="1659" t="s">
        <v>54</v>
      </c>
      <c r="AP45" s="1623" t="s">
        <v>54</v>
      </c>
      <c r="AQ45" s="1623" t="s">
        <v>54</v>
      </c>
      <c r="AR45" s="1650" t="s">
        <v>54</v>
      </c>
      <c r="AS45" s="1623" t="s">
        <v>54</v>
      </c>
      <c r="AT45" s="1623" t="s">
        <v>54</v>
      </c>
      <c r="AU45" s="1623" t="s">
        <v>54</v>
      </c>
      <c r="AV45" s="1623" t="s">
        <v>54</v>
      </c>
      <c r="AW45" s="1623" t="s">
        <v>54</v>
      </c>
      <c r="AX45" s="1623" t="s">
        <v>54</v>
      </c>
      <c r="AY45" s="929"/>
      <c r="AZ45" s="1645" t="s">
        <v>177</v>
      </c>
      <c r="BA45" s="929"/>
      <c r="BB45" s="1645" t="s">
        <v>177</v>
      </c>
      <c r="BC45" s="1623" t="s">
        <v>54</v>
      </c>
      <c r="BD45" s="1623" t="s">
        <v>1594</v>
      </c>
      <c r="BE45" s="1623" t="s">
        <v>54</v>
      </c>
      <c r="BF45" s="1626" t="s">
        <v>54</v>
      </c>
      <c r="BG45" s="1623" t="s">
        <v>54</v>
      </c>
      <c r="BH45" s="1623" t="s">
        <v>54</v>
      </c>
      <c r="BI45" s="1623" t="s">
        <v>54</v>
      </c>
      <c r="BJ45" s="1650" t="s">
        <v>54</v>
      </c>
      <c r="BK45" s="929"/>
      <c r="BL45" s="1645" t="s">
        <v>177</v>
      </c>
    </row>
    <row r="46" spans="1:64" ht="11.85" customHeight="1">
      <c r="A46" s="2180" t="s">
        <v>192</v>
      </c>
      <c r="B46" s="2180"/>
      <c r="O46" s="1630"/>
      <c r="P46" s="1636"/>
      <c r="Q46" s="1636"/>
      <c r="R46" s="1636"/>
      <c r="S46" s="2180" t="s">
        <v>192</v>
      </c>
      <c r="T46" s="2180"/>
      <c r="U46" s="2180" t="s">
        <v>192</v>
      </c>
      <c r="V46" s="2180"/>
      <c r="W46" s="1629"/>
      <c r="X46" s="1629"/>
      <c r="Y46" s="1629"/>
      <c r="Z46" s="1629"/>
      <c r="AA46" s="1629"/>
      <c r="AB46" s="1629"/>
      <c r="AC46" s="1629"/>
      <c r="AD46" s="1629"/>
      <c r="AE46" s="1629"/>
      <c r="AF46" s="1629"/>
      <c r="AG46" s="1629"/>
      <c r="AH46" s="1630"/>
      <c r="AI46" s="2180" t="s">
        <v>192</v>
      </c>
      <c r="AJ46" s="2180"/>
      <c r="AK46" s="2180" t="s">
        <v>192</v>
      </c>
      <c r="AL46" s="2180"/>
      <c r="AM46" s="1630"/>
      <c r="AN46" s="1630"/>
      <c r="AO46" s="1630"/>
      <c r="AP46" s="1630"/>
      <c r="AQ46" s="1630"/>
      <c r="AR46" s="1630"/>
      <c r="AS46" s="1630"/>
      <c r="AT46" s="1630"/>
      <c r="AU46" s="1630"/>
      <c r="AV46" s="1630"/>
      <c r="AW46" s="1630"/>
      <c r="AX46" s="1630"/>
      <c r="AY46" s="2180" t="s">
        <v>192</v>
      </c>
      <c r="AZ46" s="2180"/>
      <c r="BA46" s="2180" t="s">
        <v>192</v>
      </c>
      <c r="BB46" s="2180"/>
      <c r="BC46" s="1630"/>
      <c r="BD46" s="1630"/>
      <c r="BE46" s="1630"/>
      <c r="BF46" s="1636"/>
      <c r="BG46" s="1630"/>
      <c r="BH46" s="1630"/>
      <c r="BI46" s="1630"/>
      <c r="BJ46" s="1630"/>
      <c r="BK46" s="2180" t="s">
        <v>192</v>
      </c>
      <c r="BL46" s="2180"/>
    </row>
    <row r="47" spans="1:64" s="9" customFormat="1" ht="11.85" customHeight="1">
      <c r="A47" s="376"/>
      <c r="B47" s="1645" t="s">
        <v>176</v>
      </c>
      <c r="C47" s="1625" t="s">
        <v>54</v>
      </c>
      <c r="D47" s="1648" t="s">
        <v>2552</v>
      </c>
      <c r="E47" s="1648" t="s">
        <v>2045</v>
      </c>
      <c r="F47" s="1625" t="s">
        <v>2045</v>
      </c>
      <c r="G47" s="1625">
        <v>9</v>
      </c>
      <c r="H47" s="1625">
        <v>9</v>
      </c>
      <c r="I47" s="1623" t="s">
        <v>54</v>
      </c>
      <c r="J47" s="1625" t="s">
        <v>1988</v>
      </c>
      <c r="K47" s="1625">
        <v>9</v>
      </c>
      <c r="L47" s="1623">
        <v>9</v>
      </c>
      <c r="M47" s="947">
        <v>9</v>
      </c>
      <c r="N47" s="947">
        <v>9</v>
      </c>
      <c r="O47" s="1648">
        <v>9</v>
      </c>
      <c r="P47" s="1623">
        <v>9</v>
      </c>
      <c r="Q47" s="1625">
        <v>9</v>
      </c>
      <c r="R47" s="1623">
        <v>9</v>
      </c>
      <c r="S47" s="376"/>
      <c r="T47" s="1645" t="s">
        <v>176</v>
      </c>
      <c r="U47" s="376"/>
      <c r="V47" s="1645" t="s">
        <v>176</v>
      </c>
      <c r="W47" s="1625">
        <v>9</v>
      </c>
      <c r="X47" s="1625">
        <v>9</v>
      </c>
      <c r="Y47" s="1625">
        <v>9</v>
      </c>
      <c r="Z47" s="1625">
        <v>9</v>
      </c>
      <c r="AA47" s="1625" t="s">
        <v>2591</v>
      </c>
      <c r="AB47" s="1625" t="s">
        <v>2592</v>
      </c>
      <c r="AC47" s="1625" t="s">
        <v>2553</v>
      </c>
      <c r="AD47" s="1625" t="s">
        <v>1988</v>
      </c>
      <c r="AE47" s="1625" t="s">
        <v>1761</v>
      </c>
      <c r="AF47" s="1625">
        <v>9</v>
      </c>
      <c r="AG47" s="1625">
        <v>9</v>
      </c>
      <c r="AH47" s="1623">
        <v>9</v>
      </c>
      <c r="AI47" s="376"/>
      <c r="AJ47" s="1645" t="s">
        <v>176</v>
      </c>
      <c r="AK47" s="376"/>
      <c r="AL47" s="1645" t="s">
        <v>176</v>
      </c>
      <c r="AM47" s="1623">
        <v>9</v>
      </c>
      <c r="AN47" s="1623" t="s">
        <v>1761</v>
      </c>
      <c r="AO47" s="1623" t="s">
        <v>2586</v>
      </c>
      <c r="AP47" s="1623">
        <v>9</v>
      </c>
      <c r="AQ47" s="1623">
        <v>9</v>
      </c>
      <c r="AR47" s="1623" t="s">
        <v>1988</v>
      </c>
      <c r="AS47" s="1623">
        <v>9</v>
      </c>
      <c r="AT47" s="1623">
        <v>9</v>
      </c>
      <c r="AU47" s="1623">
        <v>9</v>
      </c>
      <c r="AV47" s="1623">
        <v>9</v>
      </c>
      <c r="AW47" s="1623" t="s">
        <v>1759</v>
      </c>
      <c r="AX47" s="1623">
        <v>9</v>
      </c>
      <c r="AY47" s="376"/>
      <c r="AZ47" s="1645" t="s">
        <v>176</v>
      </c>
      <c r="BA47" s="376"/>
      <c r="BB47" s="1645" t="s">
        <v>176</v>
      </c>
      <c r="BC47" s="1623" t="s">
        <v>54</v>
      </c>
      <c r="BD47" s="1623" t="s">
        <v>54</v>
      </c>
      <c r="BE47" s="1623" t="s">
        <v>2690</v>
      </c>
      <c r="BF47" s="1623" t="s">
        <v>1761</v>
      </c>
      <c r="BG47" s="1623" t="s">
        <v>54</v>
      </c>
      <c r="BH47" s="1623" t="s">
        <v>2607</v>
      </c>
      <c r="BI47" s="1623" t="s">
        <v>54</v>
      </c>
      <c r="BJ47" s="1623" t="s">
        <v>2593</v>
      </c>
      <c r="BK47" s="376"/>
      <c r="BL47" s="1645" t="s">
        <v>176</v>
      </c>
    </row>
    <row r="48" spans="1:64" s="318" customFormat="1" ht="11.85" customHeight="1" thickBot="1">
      <c r="A48" s="621"/>
      <c r="B48" s="1662" t="s">
        <v>177</v>
      </c>
      <c r="C48" s="945" t="s">
        <v>1988</v>
      </c>
      <c r="D48" s="1663" t="s">
        <v>54</v>
      </c>
      <c r="E48" s="945" t="s">
        <v>54</v>
      </c>
      <c r="F48" s="1664" t="s">
        <v>54</v>
      </c>
      <c r="G48" s="1665" t="s">
        <v>54</v>
      </c>
      <c r="H48" s="1665" t="s">
        <v>54</v>
      </c>
      <c r="I48" s="1666" t="s">
        <v>1757</v>
      </c>
      <c r="J48" s="1665" t="s">
        <v>54</v>
      </c>
      <c r="K48" s="1665" t="s">
        <v>1757</v>
      </c>
      <c r="L48" s="945">
        <v>9</v>
      </c>
      <c r="M48" s="1667">
        <v>9</v>
      </c>
      <c r="N48" s="1666">
        <v>9</v>
      </c>
      <c r="O48" s="1668" t="s">
        <v>54</v>
      </c>
      <c r="P48" s="1001" t="s">
        <v>54</v>
      </c>
      <c r="Q48" s="1001" t="s">
        <v>54</v>
      </c>
      <c r="R48" s="1669" t="s">
        <v>54</v>
      </c>
      <c r="S48" s="621"/>
      <c r="T48" s="1662" t="s">
        <v>177</v>
      </c>
      <c r="U48" s="621"/>
      <c r="V48" s="1662" t="s">
        <v>177</v>
      </c>
      <c r="W48" s="1666" t="s">
        <v>54</v>
      </c>
      <c r="X48" s="1666" t="s">
        <v>54</v>
      </c>
      <c r="Y48" s="1670" t="s">
        <v>54</v>
      </c>
      <c r="Z48" s="1666" t="s">
        <v>54</v>
      </c>
      <c r="AA48" s="1670"/>
      <c r="AB48" s="1670" t="s">
        <v>54</v>
      </c>
      <c r="AC48" s="1670" t="s">
        <v>1594</v>
      </c>
      <c r="AD48" s="1666">
        <v>9</v>
      </c>
      <c r="AE48" s="1670" t="s">
        <v>54</v>
      </c>
      <c r="AF48" s="1670" t="s">
        <v>54</v>
      </c>
      <c r="AG48" s="1666">
        <v>9</v>
      </c>
      <c r="AH48" s="1667" t="s">
        <v>54</v>
      </c>
      <c r="AI48" s="621"/>
      <c r="AJ48" s="1662" t="s">
        <v>177</v>
      </c>
      <c r="AK48" s="621"/>
      <c r="AL48" s="1662" t="s">
        <v>177</v>
      </c>
      <c r="AM48" s="945" t="s">
        <v>54</v>
      </c>
      <c r="AN48" s="1001" t="s">
        <v>54</v>
      </c>
      <c r="AO48" s="1001" t="s">
        <v>54</v>
      </c>
      <c r="AP48" s="1001" t="s">
        <v>54</v>
      </c>
      <c r="AQ48" s="1001" t="s">
        <v>54</v>
      </c>
      <c r="AR48" s="945">
        <v>9</v>
      </c>
      <c r="AS48" s="1001" t="s">
        <v>54</v>
      </c>
      <c r="AT48" s="1001" t="s">
        <v>54</v>
      </c>
      <c r="AU48" s="1667" t="s">
        <v>54</v>
      </c>
      <c r="AV48" s="945">
        <v>9</v>
      </c>
      <c r="AW48" s="1001" t="s">
        <v>54</v>
      </c>
      <c r="AX48" s="1001" t="s">
        <v>2536</v>
      </c>
      <c r="AY48" s="621"/>
      <c r="AZ48" s="1662" t="s">
        <v>177</v>
      </c>
      <c r="BA48" s="621"/>
      <c r="BB48" s="1662" t="s">
        <v>177</v>
      </c>
      <c r="BC48" s="945" t="s">
        <v>54</v>
      </c>
      <c r="BD48" s="945" t="s">
        <v>2583</v>
      </c>
      <c r="BE48" s="945" t="s">
        <v>54</v>
      </c>
      <c r="BF48" s="1001" t="s">
        <v>54</v>
      </c>
      <c r="BG48" s="1001" t="s">
        <v>54</v>
      </c>
      <c r="BH48" s="945" t="s">
        <v>54</v>
      </c>
      <c r="BI48" s="945" t="s">
        <v>54</v>
      </c>
      <c r="BJ48" s="1667" t="s">
        <v>54</v>
      </c>
      <c r="BK48" s="621"/>
      <c r="BL48" s="1662" t="s">
        <v>177</v>
      </c>
    </row>
    <row r="49" spans="1:57" ht="10.5" customHeight="1">
      <c r="A49" s="2191" t="s">
        <v>1649</v>
      </c>
      <c r="B49" s="2191"/>
      <c r="C49" s="2191"/>
      <c r="D49" s="2191"/>
      <c r="E49" s="2191"/>
      <c r="F49" s="2191"/>
      <c r="G49" s="2191"/>
      <c r="H49" s="2191"/>
      <c r="I49" s="2191"/>
      <c r="J49" s="2191"/>
      <c r="K49" s="1628"/>
      <c r="L49" s="1671"/>
      <c r="M49" s="1671"/>
      <c r="N49" s="1671"/>
      <c r="O49" s="1671"/>
      <c r="P49" s="1671"/>
      <c r="Q49" s="1671"/>
      <c r="R49" s="1671"/>
      <c r="S49" s="1671"/>
      <c r="T49" s="1671"/>
      <c r="U49" s="2192" t="s">
        <v>1649</v>
      </c>
      <c r="V49" s="2192"/>
      <c r="W49" s="2192"/>
      <c r="X49" s="2192"/>
      <c r="Y49" s="2192"/>
      <c r="Z49" s="1672"/>
      <c r="AA49" s="1673"/>
      <c r="AB49" s="1673"/>
      <c r="AC49" s="1673"/>
      <c r="AD49" s="1673"/>
      <c r="AE49" s="1673"/>
      <c r="AF49" s="1673"/>
      <c r="AG49" s="1673"/>
      <c r="AH49" s="1673"/>
      <c r="AK49" s="2192" t="s">
        <v>1649</v>
      </c>
      <c r="AL49" s="2192"/>
      <c r="AM49" s="2192"/>
      <c r="AN49" s="2192"/>
      <c r="BA49" s="2192" t="s">
        <v>1989</v>
      </c>
      <c r="BB49" s="2192"/>
      <c r="BC49" s="2192"/>
      <c r="BD49" s="2192"/>
      <c r="BE49" s="2192"/>
    </row>
    <row r="50" spans="1:57" ht="9" customHeight="1">
      <c r="B50" s="14" t="s">
        <v>181</v>
      </c>
      <c r="V50" s="14" t="s">
        <v>181</v>
      </c>
      <c r="W50" s="34"/>
      <c r="X50" s="34"/>
      <c r="Y50" s="34"/>
      <c r="Z50" s="34"/>
      <c r="AB50" s="34"/>
      <c r="AC50" s="34"/>
      <c r="AD50" s="34"/>
      <c r="AE50" s="34"/>
      <c r="AF50" s="34"/>
      <c r="AG50" s="34"/>
      <c r="AH50" s="34"/>
      <c r="AL50" s="14" t="s">
        <v>181</v>
      </c>
      <c r="AM50" s="34"/>
      <c r="AN50" s="34"/>
      <c r="BB50" s="14" t="s">
        <v>181</v>
      </c>
      <c r="BC50" s="34"/>
      <c r="BD50" s="34"/>
      <c r="BE50" s="34"/>
    </row>
  </sheetData>
  <mergeCells count="138">
    <mergeCell ref="A49:J49"/>
    <mergeCell ref="U49:Y49"/>
    <mergeCell ref="AK49:AN49"/>
    <mergeCell ref="BA49:BE49"/>
    <mergeCell ref="BA43:BB43"/>
    <mergeCell ref="BK43:BL43"/>
    <mergeCell ref="A46:B46"/>
    <mergeCell ref="S46:T46"/>
    <mergeCell ref="U46:V46"/>
    <mergeCell ref="AI46:AJ46"/>
    <mergeCell ref="AK46:AL46"/>
    <mergeCell ref="AY46:AZ46"/>
    <mergeCell ref="BA46:BB46"/>
    <mergeCell ref="BK46:BL46"/>
    <mergeCell ref="A43:B43"/>
    <mergeCell ref="S43:T43"/>
    <mergeCell ref="U43:V43"/>
    <mergeCell ref="AI43:AJ43"/>
    <mergeCell ref="AK43:AL43"/>
    <mergeCell ref="AY43:AZ43"/>
    <mergeCell ref="BA37:BB37"/>
    <mergeCell ref="BK37:BL37"/>
    <mergeCell ref="A40:B40"/>
    <mergeCell ref="S40:T40"/>
    <mergeCell ref="U40:V40"/>
    <mergeCell ref="AI40:AJ40"/>
    <mergeCell ref="AK40:AL40"/>
    <mergeCell ref="AY40:AZ40"/>
    <mergeCell ref="BA40:BB40"/>
    <mergeCell ref="BK40:BL40"/>
    <mergeCell ref="A37:B37"/>
    <mergeCell ref="S37:T37"/>
    <mergeCell ref="U37:V37"/>
    <mergeCell ref="AI37:AJ37"/>
    <mergeCell ref="AK37:AL37"/>
    <mergeCell ref="AY37:AZ37"/>
    <mergeCell ref="BA29:BB29"/>
    <mergeCell ref="BK29:BL29"/>
    <mergeCell ref="A36:B36"/>
    <mergeCell ref="S36:T36"/>
    <mergeCell ref="U36:V36"/>
    <mergeCell ref="AI36:AJ36"/>
    <mergeCell ref="AK36:AL36"/>
    <mergeCell ref="AY36:AZ36"/>
    <mergeCell ref="BA36:BB36"/>
    <mergeCell ref="BK36:BL36"/>
    <mergeCell ref="A29:B29"/>
    <mergeCell ref="S29:T29"/>
    <mergeCell ref="U29:V29"/>
    <mergeCell ref="AI29:AJ29"/>
    <mergeCell ref="AK29:AL29"/>
    <mergeCell ref="AY29:AZ29"/>
    <mergeCell ref="BA23:BB23"/>
    <mergeCell ref="BK23:BL23"/>
    <mergeCell ref="A26:B26"/>
    <mergeCell ref="S26:T26"/>
    <mergeCell ref="U26:V26"/>
    <mergeCell ref="AI26:AJ26"/>
    <mergeCell ref="AK26:AL26"/>
    <mergeCell ref="AY26:AZ26"/>
    <mergeCell ref="BA26:BB26"/>
    <mergeCell ref="BK26:BL26"/>
    <mergeCell ref="A23:B23"/>
    <mergeCell ref="S23:T23"/>
    <mergeCell ref="U23:V23"/>
    <mergeCell ref="AI23:AJ23"/>
    <mergeCell ref="AK23:AL23"/>
    <mergeCell ref="AY23:AZ23"/>
    <mergeCell ref="BA19:BB19"/>
    <mergeCell ref="BK19:BL19"/>
    <mergeCell ref="A20:B20"/>
    <mergeCell ref="S20:T20"/>
    <mergeCell ref="U20:V20"/>
    <mergeCell ref="AI20:AJ20"/>
    <mergeCell ref="AK20:AL20"/>
    <mergeCell ref="AY20:AZ20"/>
    <mergeCell ref="BA20:BB20"/>
    <mergeCell ref="BK20:BL20"/>
    <mergeCell ref="A19:B19"/>
    <mergeCell ref="S19:T19"/>
    <mergeCell ref="U19:V19"/>
    <mergeCell ref="AI19:AJ19"/>
    <mergeCell ref="AK19:AL19"/>
    <mergeCell ref="AY19:AZ19"/>
    <mergeCell ref="BA7:BB7"/>
    <mergeCell ref="BK7:BL7"/>
    <mergeCell ref="A13:B13"/>
    <mergeCell ref="S13:T13"/>
    <mergeCell ref="U13:V13"/>
    <mergeCell ref="AI13:AJ13"/>
    <mergeCell ref="AK13:AL13"/>
    <mergeCell ref="AY13:AZ13"/>
    <mergeCell ref="BA13:BB13"/>
    <mergeCell ref="BK13:BL13"/>
    <mergeCell ref="A7:B7"/>
    <mergeCell ref="S7:T7"/>
    <mergeCell ref="U7:V7"/>
    <mergeCell ref="AI7:AJ7"/>
    <mergeCell ref="AK7:AL7"/>
    <mergeCell ref="AY7:AZ7"/>
    <mergeCell ref="BK3:BL5"/>
    <mergeCell ref="A6:B6"/>
    <mergeCell ref="S6:T6"/>
    <mergeCell ref="U6:V6"/>
    <mergeCell ref="AI6:AJ6"/>
    <mergeCell ref="AK6:AL6"/>
    <mergeCell ref="AY6:AZ6"/>
    <mergeCell ref="BA6:BB6"/>
    <mergeCell ref="BK6:BL6"/>
    <mergeCell ref="W3:AH3"/>
    <mergeCell ref="AI3:AJ5"/>
    <mergeCell ref="AK3:AL5"/>
    <mergeCell ref="AM3:AX3"/>
    <mergeCell ref="AY3:AZ5"/>
    <mergeCell ref="BA3:BB5"/>
    <mergeCell ref="L2:M2"/>
    <mergeCell ref="Y2:Z2"/>
    <mergeCell ref="BE2:BF2"/>
    <mergeCell ref="BG2:BI2"/>
    <mergeCell ref="A3:B5"/>
    <mergeCell ref="C3:H3"/>
    <mergeCell ref="I3:J3"/>
    <mergeCell ref="L3:R3"/>
    <mergeCell ref="S3:T5"/>
    <mergeCell ref="U3:V5"/>
    <mergeCell ref="BC3:BJ3"/>
    <mergeCell ref="AK1:AR1"/>
    <mergeCell ref="AS1:AX1"/>
    <mergeCell ref="AY1:AZ1"/>
    <mergeCell ref="BC1:BF1"/>
    <mergeCell ref="BG1:BJ1"/>
    <mergeCell ref="BK1:BL1"/>
    <mergeCell ref="B1:J1"/>
    <mergeCell ref="K1:Q1"/>
    <mergeCell ref="S1:T1"/>
    <mergeCell ref="U1:AB1"/>
    <mergeCell ref="AC1:AG1"/>
    <mergeCell ref="AI1:AJ1"/>
  </mergeCells>
  <phoneticPr fontId="43" type="noConversion"/>
  <pageMargins left="0.511811023622047" right="0.511811023622047" top="0.511811023622047" bottom="0.511811023622047" header="0" footer="0.43307086614173201"/>
  <pageSetup paperSize="448" firstPageNumber="66" orientation="portrait" useFirstPageNumber="1" r:id="rId1"/>
  <headerFooter>
    <oddFooter>&amp;C&amp;"Times New Roman,Regular"&amp;8&amp;P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8"/>
  <dimension ref="A1:L56"/>
  <sheetViews>
    <sheetView zoomScale="150" zoomScaleNormal="150" workbookViewId="0">
      <pane xSplit="3" ySplit="3" topLeftCell="D44" activePane="bottomRight" state="frozen"/>
      <selection activeCell="G9" sqref="G9"/>
      <selection pane="topRight" activeCell="G9" sqref="G9"/>
      <selection pane="bottomLeft" activeCell="G9" sqref="G9"/>
      <selection pane="bottomRight" activeCell="G40" sqref="G39:G40"/>
    </sheetView>
  </sheetViews>
  <sheetFormatPr defaultColWidth="9.140625" defaultRowHeight="12.75"/>
  <cols>
    <col min="1" max="1" width="1.85546875" style="2" customWidth="1"/>
    <col min="2" max="2" width="2.5703125" style="2" customWidth="1"/>
    <col min="3" max="3" width="27.5703125" style="2" customWidth="1"/>
    <col min="4" max="4" width="6.140625" style="2" customWidth="1"/>
    <col min="5" max="5" width="5.5703125" style="2" customWidth="1"/>
    <col min="6" max="6" width="5.140625" style="2" customWidth="1"/>
    <col min="7" max="7" width="4.85546875" style="1264" customWidth="1"/>
    <col min="8" max="8" width="6.140625" style="2" customWidth="1"/>
    <col min="9" max="10" width="5.28515625" style="2" customWidth="1"/>
    <col min="11" max="11" width="5" style="2" customWidth="1"/>
    <col min="12" max="12" width="7.85546875" style="2" customWidth="1"/>
    <col min="13" max="16384" width="9.140625" style="2"/>
  </cols>
  <sheetData>
    <row r="1" spans="1:12" s="19" customFormat="1" ht="15" customHeight="1">
      <c r="A1" s="2194" t="s">
        <v>2132</v>
      </c>
      <c r="B1" s="2195"/>
      <c r="C1" s="2195"/>
      <c r="D1" s="2195"/>
      <c r="E1" s="2195"/>
      <c r="F1" s="2195"/>
      <c r="G1" s="2195"/>
      <c r="H1" s="2195"/>
      <c r="I1" s="2195"/>
      <c r="J1" s="2195"/>
      <c r="K1" s="2196" t="s">
        <v>1454</v>
      </c>
      <c r="L1" s="2196"/>
    </row>
    <row r="2" spans="1:12" s="5" customFormat="1" ht="11.25" customHeight="1">
      <c r="B2" s="140"/>
      <c r="C2" s="140"/>
      <c r="D2" s="140"/>
      <c r="E2" s="140"/>
      <c r="F2" s="140"/>
      <c r="G2" s="1262"/>
      <c r="H2" s="1253"/>
      <c r="I2" s="1253"/>
      <c r="J2" s="2061" t="s">
        <v>690</v>
      </c>
      <c r="K2" s="2061"/>
      <c r="L2" s="2061"/>
    </row>
    <row r="3" spans="1:12" s="480" customFormat="1" ht="60" customHeight="1">
      <c r="A3" s="1715" t="s">
        <v>756</v>
      </c>
      <c r="B3" s="1715"/>
      <c r="C3" s="1715"/>
      <c r="D3" s="1248" t="s">
        <v>1822</v>
      </c>
      <c r="E3" s="1248" t="s">
        <v>1747</v>
      </c>
      <c r="F3" s="1248" t="s">
        <v>98</v>
      </c>
      <c r="G3" s="1257" t="s">
        <v>1823</v>
      </c>
      <c r="H3" s="1248" t="s">
        <v>1824</v>
      </c>
      <c r="I3" s="1248" t="s">
        <v>1825</v>
      </c>
      <c r="J3" s="1248" t="s">
        <v>1826</v>
      </c>
      <c r="K3" s="1248" t="s">
        <v>1827</v>
      </c>
      <c r="L3" s="1247" t="s">
        <v>1828</v>
      </c>
    </row>
    <row r="4" spans="1:12" s="1256" customFormat="1" ht="10.7" customHeight="1">
      <c r="A4" s="1252" t="s">
        <v>791</v>
      </c>
      <c r="B4" s="2197" t="s">
        <v>820</v>
      </c>
      <c r="C4" s="2197"/>
      <c r="D4" s="15">
        <v>4.16</v>
      </c>
      <c r="E4" s="15">
        <v>3.47</v>
      </c>
      <c r="F4" s="32">
        <v>4</v>
      </c>
      <c r="G4" s="32">
        <v>2.5</v>
      </c>
      <c r="H4" s="15">
        <v>2.87</v>
      </c>
      <c r="I4" s="15">
        <v>6.01</v>
      </c>
      <c r="J4" s="300">
        <v>4</v>
      </c>
      <c r="K4" s="15">
        <v>4.05</v>
      </c>
      <c r="L4" s="32">
        <v>3.9699999999999998</v>
      </c>
    </row>
    <row r="5" spans="1:12" s="40" customFormat="1" ht="10.7" customHeight="1">
      <c r="A5" s="401" t="s">
        <v>792</v>
      </c>
      <c r="B5" s="2193" t="s">
        <v>821</v>
      </c>
      <c r="C5" s="2193"/>
      <c r="D5" s="394"/>
      <c r="E5" s="394"/>
      <c r="F5" s="374"/>
      <c r="G5" s="374"/>
      <c r="H5" s="404"/>
      <c r="I5" s="404"/>
      <c r="J5" s="394"/>
      <c r="K5" s="394"/>
      <c r="L5" s="374"/>
    </row>
    <row r="6" spans="1:12" s="40" customFormat="1" ht="10.7" customHeight="1">
      <c r="A6" s="1252"/>
      <c r="B6" s="147" t="s">
        <v>822</v>
      </c>
      <c r="C6" s="1250" t="s">
        <v>823</v>
      </c>
      <c r="D6" s="15">
        <v>7.37</v>
      </c>
      <c r="E6" s="15">
        <v>7.9799999999999995</v>
      </c>
      <c r="F6" s="32">
        <v>9.5</v>
      </c>
      <c r="G6" s="32">
        <v>6</v>
      </c>
      <c r="H6" s="15" t="s">
        <v>430</v>
      </c>
      <c r="I6" s="15">
        <v>8.15</v>
      </c>
      <c r="J6" s="15">
        <v>6</v>
      </c>
      <c r="K6" s="15">
        <v>6.17</v>
      </c>
      <c r="L6" s="32">
        <v>9.6</v>
      </c>
    </row>
    <row r="7" spans="1:12" s="40" customFormat="1" ht="10.7" customHeight="1">
      <c r="A7" s="401"/>
      <c r="B7" s="403" t="s">
        <v>824</v>
      </c>
      <c r="C7" s="382" t="s">
        <v>825</v>
      </c>
      <c r="D7" s="394">
        <v>7.17</v>
      </c>
      <c r="E7" s="394">
        <v>7.6300000000000008</v>
      </c>
      <c r="F7" s="374">
        <v>9.5</v>
      </c>
      <c r="G7" s="374">
        <v>6</v>
      </c>
      <c r="H7" s="394" t="s">
        <v>430</v>
      </c>
      <c r="I7" s="394">
        <v>9.25</v>
      </c>
      <c r="J7" s="394">
        <v>6</v>
      </c>
      <c r="K7" s="394">
        <v>6.17</v>
      </c>
      <c r="L7" s="374">
        <v>9.41</v>
      </c>
    </row>
    <row r="8" spans="1:12" s="40" customFormat="1" ht="10.7" customHeight="1">
      <c r="A8" s="1252"/>
      <c r="B8" s="147" t="s">
        <v>826</v>
      </c>
      <c r="C8" s="1250" t="s">
        <v>81</v>
      </c>
      <c r="D8" s="15">
        <v>7.04</v>
      </c>
      <c r="E8" s="15">
        <v>6.94</v>
      </c>
      <c r="F8" s="32">
        <v>9.5</v>
      </c>
      <c r="G8" s="32">
        <v>6</v>
      </c>
      <c r="H8" s="15">
        <v>6.96</v>
      </c>
      <c r="I8" s="15">
        <v>9.57</v>
      </c>
      <c r="J8" s="15">
        <v>6.5</v>
      </c>
      <c r="K8" s="15">
        <v>6.17</v>
      </c>
      <c r="L8" s="32">
        <v>10.24</v>
      </c>
    </row>
    <row r="9" spans="1:12" s="40" customFormat="1" ht="10.7" customHeight="1">
      <c r="A9" s="401"/>
      <c r="B9" s="403" t="s">
        <v>827</v>
      </c>
      <c r="C9" s="382" t="s">
        <v>828</v>
      </c>
      <c r="D9" s="394">
        <v>6.9</v>
      </c>
      <c r="E9" s="394">
        <v>6.49</v>
      </c>
      <c r="F9" s="374">
        <v>8.5</v>
      </c>
      <c r="G9" s="374">
        <v>6</v>
      </c>
      <c r="H9" s="394">
        <v>5.9</v>
      </c>
      <c r="I9" s="394">
        <v>9.76</v>
      </c>
      <c r="J9" s="394">
        <v>5.25</v>
      </c>
      <c r="K9" s="394">
        <v>5.92</v>
      </c>
      <c r="L9" s="374">
        <v>7.37</v>
      </c>
    </row>
    <row r="10" spans="1:12" s="40" customFormat="1" ht="10.7" customHeight="1">
      <c r="A10" s="1252"/>
      <c r="B10" s="147" t="s">
        <v>829</v>
      </c>
      <c r="C10" s="1250" t="s">
        <v>830</v>
      </c>
      <c r="D10" s="15">
        <v>6.7</v>
      </c>
      <c r="E10" s="15">
        <v>6.25</v>
      </c>
      <c r="F10" s="32">
        <v>7</v>
      </c>
      <c r="G10" s="32">
        <v>6</v>
      </c>
      <c r="H10" s="15">
        <v>5.73</v>
      </c>
      <c r="I10" s="15">
        <v>8.92</v>
      </c>
      <c r="J10" s="15">
        <v>5</v>
      </c>
      <c r="K10" s="15">
        <v>5.66</v>
      </c>
      <c r="L10" s="32">
        <v>7.35</v>
      </c>
    </row>
    <row r="11" spans="1:12" s="40" customFormat="1" ht="10.7" customHeight="1">
      <c r="A11" s="401"/>
      <c r="B11" s="403" t="s">
        <v>456</v>
      </c>
      <c r="C11" s="382" t="s">
        <v>80</v>
      </c>
      <c r="D11" s="394">
        <v>5.5</v>
      </c>
      <c r="E11" s="394">
        <v>4.8599999999999994</v>
      </c>
      <c r="F11" s="374">
        <v>5</v>
      </c>
      <c r="G11" s="374">
        <v>5</v>
      </c>
      <c r="H11" s="394">
        <v>2.46</v>
      </c>
      <c r="I11" s="394">
        <v>8.66</v>
      </c>
      <c r="J11" s="394">
        <v>4</v>
      </c>
      <c r="K11" s="394">
        <v>5.34</v>
      </c>
      <c r="L11" s="374">
        <v>8.16</v>
      </c>
    </row>
    <row r="12" spans="1:12" s="205" customFormat="1" ht="10.7" customHeight="1">
      <c r="A12" s="204" t="s">
        <v>793</v>
      </c>
      <c r="B12" s="2200" t="s">
        <v>831</v>
      </c>
      <c r="C12" s="2200"/>
      <c r="D12" s="432"/>
      <c r="E12" s="432"/>
      <c r="F12" s="282"/>
      <c r="G12" s="32"/>
      <c r="H12" s="432"/>
      <c r="I12" s="432"/>
      <c r="J12" s="432"/>
      <c r="K12" s="432"/>
      <c r="L12" s="282"/>
    </row>
    <row r="13" spans="1:12" s="40" customFormat="1" ht="10.7" customHeight="1">
      <c r="A13" s="400"/>
      <c r="B13" s="403" t="s">
        <v>822</v>
      </c>
      <c r="C13" s="382" t="s">
        <v>832</v>
      </c>
      <c r="D13" s="394" t="s">
        <v>430</v>
      </c>
      <c r="E13" s="394">
        <v>7.9799999999999995</v>
      </c>
      <c r="F13" s="374" t="s">
        <v>430</v>
      </c>
      <c r="G13" s="374">
        <v>3</v>
      </c>
      <c r="H13" s="404" t="s">
        <v>430</v>
      </c>
      <c r="I13" s="404">
        <v>9.5500000000000007</v>
      </c>
      <c r="J13" s="404">
        <v>1.75</v>
      </c>
      <c r="K13" s="374" t="s">
        <v>430</v>
      </c>
      <c r="L13" s="374" t="s">
        <v>430</v>
      </c>
    </row>
    <row r="14" spans="1:12" s="40" customFormat="1" ht="10.7" customHeight="1">
      <c r="A14" s="1254"/>
      <c r="B14" s="147" t="s">
        <v>824</v>
      </c>
      <c r="C14" s="1250" t="s">
        <v>833</v>
      </c>
      <c r="D14" s="15" t="s">
        <v>430</v>
      </c>
      <c r="E14" s="15">
        <v>7.9799999999999995</v>
      </c>
      <c r="F14" s="32" t="s">
        <v>430</v>
      </c>
      <c r="G14" s="32">
        <v>3</v>
      </c>
      <c r="H14" s="15" t="s">
        <v>430</v>
      </c>
      <c r="I14" s="15"/>
      <c r="J14" s="148" t="s">
        <v>430</v>
      </c>
      <c r="K14" s="148">
        <v>3.99</v>
      </c>
      <c r="L14" s="32" t="s">
        <v>430</v>
      </c>
    </row>
    <row r="15" spans="1:12" s="40" customFormat="1" ht="10.7" customHeight="1">
      <c r="A15" s="400"/>
      <c r="B15" s="382" t="s">
        <v>826</v>
      </c>
      <c r="C15" s="382" t="s">
        <v>276</v>
      </c>
      <c r="D15" s="394" t="s">
        <v>430</v>
      </c>
      <c r="E15" s="394">
        <v>7.9799999999999995</v>
      </c>
      <c r="F15" s="374">
        <v>8.5</v>
      </c>
      <c r="G15" s="374" t="s">
        <v>430</v>
      </c>
      <c r="H15" s="394" t="s">
        <v>430</v>
      </c>
      <c r="I15" s="404" t="s">
        <v>430</v>
      </c>
      <c r="J15" s="404" t="s">
        <v>430</v>
      </c>
      <c r="K15" s="374" t="s">
        <v>430</v>
      </c>
      <c r="L15" s="374">
        <v>4.95</v>
      </c>
    </row>
    <row r="16" spans="1:12" s="40" customFormat="1" ht="10.7" customHeight="1">
      <c r="A16" s="321"/>
      <c r="B16" s="2198" t="s">
        <v>1181</v>
      </c>
      <c r="C16" s="2198"/>
      <c r="D16" s="16"/>
      <c r="E16" s="532"/>
      <c r="F16" s="532"/>
      <c r="G16" s="532"/>
      <c r="H16" s="16"/>
      <c r="I16" s="16"/>
      <c r="J16" s="425"/>
      <c r="K16" s="532"/>
      <c r="L16" s="532"/>
    </row>
    <row r="17" spans="1:12" s="40" customFormat="1" ht="10.7" customHeight="1">
      <c r="A17" s="400"/>
      <c r="B17" s="383" t="s">
        <v>457</v>
      </c>
      <c r="C17" s="382" t="s">
        <v>823</v>
      </c>
      <c r="D17" s="394" t="s">
        <v>430</v>
      </c>
      <c r="E17" s="394">
        <v>7.9799999999999995</v>
      </c>
      <c r="F17" s="374" t="s">
        <v>430</v>
      </c>
      <c r="G17" s="374" t="s">
        <v>430</v>
      </c>
      <c r="H17" s="404" t="s">
        <v>430</v>
      </c>
      <c r="I17" s="404" t="s">
        <v>430</v>
      </c>
      <c r="J17" s="404" t="s">
        <v>430</v>
      </c>
      <c r="K17" s="374" t="s">
        <v>430</v>
      </c>
      <c r="L17" s="374" t="s">
        <v>430</v>
      </c>
    </row>
    <row r="18" spans="1:12" s="40" customFormat="1" ht="10.7" customHeight="1">
      <c r="A18" s="1254"/>
      <c r="B18" s="88" t="s">
        <v>653</v>
      </c>
      <c r="C18" s="1250" t="s">
        <v>100</v>
      </c>
      <c r="D18" s="15">
        <v>7.51</v>
      </c>
      <c r="E18" s="15">
        <v>7.9799999999999995</v>
      </c>
      <c r="F18" s="32" t="s">
        <v>430</v>
      </c>
      <c r="G18" s="32" t="s">
        <v>430</v>
      </c>
      <c r="H18" s="148" t="s">
        <v>430</v>
      </c>
      <c r="I18" s="148" t="s">
        <v>430</v>
      </c>
      <c r="J18" s="148" t="s">
        <v>430</v>
      </c>
      <c r="K18" s="532" t="s">
        <v>430</v>
      </c>
      <c r="L18" s="32" t="s">
        <v>430</v>
      </c>
    </row>
    <row r="19" spans="1:12" s="40" customFormat="1" ht="10.7" customHeight="1">
      <c r="A19" s="400"/>
      <c r="B19" s="383" t="s">
        <v>434</v>
      </c>
      <c r="C19" s="382" t="s">
        <v>101</v>
      </c>
      <c r="D19" s="394">
        <v>8.3800000000000008</v>
      </c>
      <c r="E19" s="394">
        <v>7.9799999999999995</v>
      </c>
      <c r="F19" s="374" t="s">
        <v>430</v>
      </c>
      <c r="G19" s="374" t="s">
        <v>430</v>
      </c>
      <c r="H19" s="404" t="s">
        <v>430</v>
      </c>
      <c r="I19" s="404" t="s">
        <v>430</v>
      </c>
      <c r="J19" s="404" t="s">
        <v>430</v>
      </c>
      <c r="K19" s="374" t="s">
        <v>430</v>
      </c>
      <c r="L19" s="374" t="s">
        <v>430</v>
      </c>
    </row>
    <row r="20" spans="1:12" s="40" customFormat="1" ht="10.7" customHeight="1">
      <c r="A20" s="1254"/>
      <c r="B20" s="85" t="s">
        <v>528</v>
      </c>
      <c r="C20" s="85" t="s">
        <v>529</v>
      </c>
      <c r="D20" s="32"/>
      <c r="E20" s="32"/>
      <c r="F20" s="32"/>
      <c r="G20" s="32"/>
      <c r="H20" s="105"/>
      <c r="I20" s="105"/>
      <c r="J20" s="148"/>
      <c r="K20" s="532"/>
      <c r="L20" s="32"/>
    </row>
    <row r="21" spans="1:12" s="40" customFormat="1" ht="10.7" customHeight="1">
      <c r="A21" s="400"/>
      <c r="B21" s="383" t="s">
        <v>457</v>
      </c>
      <c r="C21" s="382" t="s">
        <v>102</v>
      </c>
      <c r="D21" s="374" t="s">
        <v>430</v>
      </c>
      <c r="E21" s="394">
        <v>7.9799999999999995</v>
      </c>
      <c r="F21" s="374">
        <v>11.25</v>
      </c>
      <c r="G21" s="374" t="s">
        <v>430</v>
      </c>
      <c r="H21" s="404">
        <v>7.7</v>
      </c>
      <c r="I21" s="404">
        <v>9.67</v>
      </c>
      <c r="J21" s="404" t="s">
        <v>430</v>
      </c>
      <c r="K21" s="404" t="s">
        <v>430</v>
      </c>
      <c r="L21" s="374">
        <v>11.48</v>
      </c>
    </row>
    <row r="22" spans="1:12" s="40" customFormat="1" ht="10.7" customHeight="1">
      <c r="A22" s="1254"/>
      <c r="B22" s="88" t="s">
        <v>653</v>
      </c>
      <c r="C22" s="1250" t="s">
        <v>103</v>
      </c>
      <c r="D22" s="32" t="s">
        <v>430</v>
      </c>
      <c r="E22" s="15">
        <v>7.9799999999999995</v>
      </c>
      <c r="F22" s="32" t="s">
        <v>430</v>
      </c>
      <c r="G22" s="32" t="s">
        <v>430</v>
      </c>
      <c r="H22" s="148">
        <v>8.19</v>
      </c>
      <c r="I22" s="148" t="s">
        <v>430</v>
      </c>
      <c r="J22" s="148" t="s">
        <v>430</v>
      </c>
      <c r="K22" s="148" t="s">
        <v>430</v>
      </c>
      <c r="L22" s="32">
        <v>12.61</v>
      </c>
    </row>
    <row r="23" spans="1:12" s="40" customFormat="1" ht="10.7" customHeight="1">
      <c r="A23" s="400"/>
      <c r="B23" s="382" t="s">
        <v>530</v>
      </c>
      <c r="C23" s="395" t="s">
        <v>531</v>
      </c>
      <c r="D23" s="374"/>
      <c r="E23" s="374"/>
      <c r="F23" s="374"/>
      <c r="G23" s="374"/>
      <c r="H23" s="404"/>
      <c r="I23" s="404"/>
      <c r="J23" s="404"/>
      <c r="K23" s="404"/>
      <c r="L23" s="374"/>
    </row>
    <row r="24" spans="1:12" s="40" customFormat="1" ht="10.7" customHeight="1">
      <c r="A24" s="1254"/>
      <c r="B24" s="88" t="s">
        <v>520</v>
      </c>
      <c r="C24" s="85" t="s">
        <v>519</v>
      </c>
      <c r="D24" s="32" t="s">
        <v>430</v>
      </c>
      <c r="E24" s="15">
        <v>7.9799999999999995</v>
      </c>
      <c r="F24" s="32">
        <v>9</v>
      </c>
      <c r="G24" s="32" t="s">
        <v>430</v>
      </c>
      <c r="H24" s="148">
        <v>8.0299999999999994</v>
      </c>
      <c r="I24" s="148">
        <v>10.01</v>
      </c>
      <c r="J24" s="148" t="s">
        <v>430</v>
      </c>
      <c r="K24" s="148">
        <v>8.6199999999999992</v>
      </c>
      <c r="L24" s="32">
        <v>10.33</v>
      </c>
    </row>
    <row r="25" spans="1:12" s="40" customFormat="1" ht="10.7" customHeight="1">
      <c r="A25" s="400"/>
      <c r="B25" s="383" t="s">
        <v>521</v>
      </c>
      <c r="C25" s="395" t="s">
        <v>522</v>
      </c>
      <c r="D25" s="374" t="s">
        <v>430</v>
      </c>
      <c r="E25" s="394">
        <v>7.9799999999999995</v>
      </c>
      <c r="F25" s="374">
        <v>9</v>
      </c>
      <c r="G25" s="374" t="s">
        <v>430</v>
      </c>
      <c r="H25" s="404">
        <v>8.19</v>
      </c>
      <c r="I25" s="404" t="s">
        <v>430</v>
      </c>
      <c r="J25" s="404" t="s">
        <v>430</v>
      </c>
      <c r="K25" s="404">
        <v>8.68</v>
      </c>
      <c r="L25" s="374" t="s">
        <v>430</v>
      </c>
    </row>
    <row r="26" spans="1:12" s="40" customFormat="1" ht="10.7" customHeight="1">
      <c r="A26" s="1254"/>
      <c r="B26" s="88" t="s">
        <v>432</v>
      </c>
      <c r="C26" s="85" t="s">
        <v>523</v>
      </c>
      <c r="D26" s="32" t="s">
        <v>430</v>
      </c>
      <c r="E26" s="15">
        <v>7.9799999999999995</v>
      </c>
      <c r="F26" s="32">
        <v>9</v>
      </c>
      <c r="G26" s="32" t="s">
        <v>430</v>
      </c>
      <c r="H26" s="148">
        <v>8.36</v>
      </c>
      <c r="I26" s="148" t="s">
        <v>430</v>
      </c>
      <c r="J26" s="148" t="s">
        <v>430</v>
      </c>
      <c r="K26" s="148" t="s">
        <v>430</v>
      </c>
      <c r="L26" s="32" t="s">
        <v>430</v>
      </c>
    </row>
    <row r="27" spans="1:12" s="40" customFormat="1" ht="10.7" customHeight="1">
      <c r="A27" s="400"/>
      <c r="B27" s="383" t="s">
        <v>433</v>
      </c>
      <c r="C27" s="395" t="s">
        <v>524</v>
      </c>
      <c r="D27" s="374" t="s">
        <v>430</v>
      </c>
      <c r="E27" s="394">
        <v>7.9799999999999995</v>
      </c>
      <c r="F27" s="374">
        <v>9</v>
      </c>
      <c r="G27" s="374" t="s">
        <v>430</v>
      </c>
      <c r="H27" s="404">
        <v>8.52</v>
      </c>
      <c r="I27" s="404" t="s">
        <v>430</v>
      </c>
      <c r="J27" s="404" t="s">
        <v>430</v>
      </c>
      <c r="K27" s="404" t="s">
        <v>430</v>
      </c>
      <c r="L27" s="374" t="s">
        <v>430</v>
      </c>
    </row>
    <row r="28" spans="1:12" s="40" customFormat="1" ht="10.7" customHeight="1">
      <c r="A28" s="1254"/>
      <c r="B28" s="1250" t="s">
        <v>517</v>
      </c>
      <c r="C28" s="1249" t="s">
        <v>518</v>
      </c>
      <c r="D28" s="32"/>
      <c r="E28" s="32"/>
      <c r="F28" s="32"/>
      <c r="G28" s="32"/>
      <c r="H28" s="148"/>
      <c r="I28" s="148"/>
      <c r="J28" s="15"/>
      <c r="K28" s="15"/>
      <c r="L28" s="32"/>
    </row>
    <row r="29" spans="1:12" s="285" customFormat="1" ht="10.7" customHeight="1">
      <c r="A29" s="400"/>
      <c r="B29" s="383" t="s">
        <v>520</v>
      </c>
      <c r="C29" s="395" t="s">
        <v>100</v>
      </c>
      <c r="D29" s="394">
        <v>7.24</v>
      </c>
      <c r="E29" s="394">
        <v>7.9799999999999995</v>
      </c>
      <c r="F29" s="374">
        <v>9.5</v>
      </c>
      <c r="G29" s="374" t="s">
        <v>430</v>
      </c>
      <c r="H29" s="404">
        <v>7.37</v>
      </c>
      <c r="I29" s="404" t="s">
        <v>430</v>
      </c>
      <c r="J29" s="394" t="s">
        <v>430</v>
      </c>
      <c r="K29" s="394">
        <v>8.43</v>
      </c>
      <c r="L29" s="374" t="s">
        <v>430</v>
      </c>
    </row>
    <row r="30" spans="1:12" s="285" customFormat="1" ht="10.7" customHeight="1">
      <c r="A30" s="321"/>
      <c r="B30" s="309" t="s">
        <v>431</v>
      </c>
      <c r="C30" s="314" t="s">
        <v>101</v>
      </c>
      <c r="D30" s="16">
        <v>7.37</v>
      </c>
      <c r="E30" s="16">
        <v>7.9799999999999995</v>
      </c>
      <c r="F30" s="532">
        <v>9.5</v>
      </c>
      <c r="G30" s="532" t="s">
        <v>430</v>
      </c>
      <c r="H30" s="425">
        <v>7.7</v>
      </c>
      <c r="I30" s="425" t="s">
        <v>430</v>
      </c>
      <c r="J30" s="16" t="s">
        <v>430</v>
      </c>
      <c r="K30" s="16">
        <v>8.23</v>
      </c>
      <c r="L30" s="532" t="s">
        <v>785</v>
      </c>
    </row>
    <row r="31" spans="1:12" s="285" customFormat="1" ht="10.7" customHeight="1">
      <c r="A31" s="400"/>
      <c r="B31" s="383" t="s">
        <v>432</v>
      </c>
      <c r="C31" s="395" t="s">
        <v>525</v>
      </c>
      <c r="D31" s="394">
        <v>8.3800000000000008</v>
      </c>
      <c r="E31" s="394">
        <v>7.9799999999999995</v>
      </c>
      <c r="F31" s="374">
        <v>10</v>
      </c>
      <c r="G31" s="374" t="s">
        <v>430</v>
      </c>
      <c r="H31" s="404">
        <v>7.86</v>
      </c>
      <c r="I31" s="404">
        <v>10.029999999999999</v>
      </c>
      <c r="J31" s="394" t="s">
        <v>430</v>
      </c>
      <c r="K31" s="394">
        <v>8.23</v>
      </c>
      <c r="L31" s="374">
        <v>10.86</v>
      </c>
    </row>
    <row r="32" spans="1:12" s="285" customFormat="1" ht="10.7" customHeight="1">
      <c r="A32" s="321"/>
      <c r="B32" s="309" t="s">
        <v>433</v>
      </c>
      <c r="C32" s="314" t="s">
        <v>519</v>
      </c>
      <c r="D32" s="32" t="s">
        <v>430</v>
      </c>
      <c r="E32" s="16">
        <v>7.9799999999999995</v>
      </c>
      <c r="F32" s="532">
        <v>10</v>
      </c>
      <c r="G32" s="32" t="s">
        <v>430</v>
      </c>
      <c r="H32" s="425" t="s">
        <v>430</v>
      </c>
      <c r="I32" s="425" t="s">
        <v>430</v>
      </c>
      <c r="J32" s="16" t="s">
        <v>430</v>
      </c>
      <c r="K32" s="16">
        <v>8.17</v>
      </c>
      <c r="L32" s="532" t="s">
        <v>430</v>
      </c>
    </row>
    <row r="33" spans="1:12" s="285" customFormat="1" ht="10.7" customHeight="1">
      <c r="A33" s="400"/>
      <c r="B33" s="403" t="s">
        <v>527</v>
      </c>
      <c r="C33" s="395" t="s">
        <v>1004</v>
      </c>
      <c r="D33" s="374" t="s">
        <v>430</v>
      </c>
      <c r="E33" s="374" t="s">
        <v>430</v>
      </c>
      <c r="F33" s="374">
        <v>9</v>
      </c>
      <c r="G33" s="374">
        <v>3</v>
      </c>
      <c r="H33" s="394" t="s">
        <v>430</v>
      </c>
      <c r="I33" s="404" t="s">
        <v>430</v>
      </c>
      <c r="J33" s="394" t="s">
        <v>430</v>
      </c>
      <c r="K33" s="394">
        <v>7.33</v>
      </c>
      <c r="L33" s="374">
        <v>9.68</v>
      </c>
    </row>
    <row r="34" spans="1:12" s="285" customFormat="1" ht="10.7" customHeight="1">
      <c r="A34" s="321"/>
      <c r="B34" s="1255" t="s">
        <v>457</v>
      </c>
      <c r="C34" s="1255" t="s">
        <v>104</v>
      </c>
      <c r="D34" s="32" t="s">
        <v>430</v>
      </c>
      <c r="E34" s="32" t="s">
        <v>430</v>
      </c>
      <c r="F34" s="532" t="s">
        <v>430</v>
      </c>
      <c r="G34" s="32">
        <v>3</v>
      </c>
      <c r="H34" s="16" t="s">
        <v>430</v>
      </c>
      <c r="I34" s="16" t="s">
        <v>430</v>
      </c>
      <c r="J34" s="16" t="s">
        <v>430</v>
      </c>
      <c r="K34" s="16" t="s">
        <v>430</v>
      </c>
      <c r="L34" s="532" t="s">
        <v>430</v>
      </c>
    </row>
    <row r="35" spans="1:12" s="285" customFormat="1" ht="10.7" customHeight="1">
      <c r="A35" s="400"/>
      <c r="B35" s="382" t="s">
        <v>458</v>
      </c>
      <c r="C35" s="382" t="s">
        <v>105</v>
      </c>
      <c r="D35" s="374" t="s">
        <v>430</v>
      </c>
      <c r="E35" s="374" t="s">
        <v>430</v>
      </c>
      <c r="F35" s="374">
        <v>5</v>
      </c>
      <c r="G35" s="374" t="s">
        <v>430</v>
      </c>
      <c r="H35" s="394" t="s">
        <v>430</v>
      </c>
      <c r="I35" s="394" t="s">
        <v>430</v>
      </c>
      <c r="J35" s="394">
        <v>4</v>
      </c>
      <c r="K35" s="394" t="s">
        <v>430</v>
      </c>
      <c r="L35" s="374" t="s">
        <v>430</v>
      </c>
    </row>
    <row r="36" spans="1:12" s="285" customFormat="1" ht="10.7" customHeight="1">
      <c r="A36" s="321"/>
      <c r="B36" s="1255" t="s">
        <v>459</v>
      </c>
      <c r="C36" s="1255" t="s">
        <v>106</v>
      </c>
      <c r="D36" s="32" t="s">
        <v>430</v>
      </c>
      <c r="E36" s="32" t="s">
        <v>430</v>
      </c>
      <c r="F36" s="532" t="s">
        <v>430</v>
      </c>
      <c r="G36" s="32" t="s">
        <v>430</v>
      </c>
      <c r="H36" s="16" t="s">
        <v>430</v>
      </c>
      <c r="I36" s="16" t="s">
        <v>430</v>
      </c>
      <c r="J36" s="16" t="s">
        <v>430</v>
      </c>
      <c r="K36" s="16" t="s">
        <v>430</v>
      </c>
      <c r="L36" s="532" t="s">
        <v>430</v>
      </c>
    </row>
    <row r="37" spans="1:12" s="285" customFormat="1" ht="10.7" customHeight="1">
      <c r="A37" s="400"/>
      <c r="B37" s="382" t="s">
        <v>460</v>
      </c>
      <c r="C37" s="382" t="s">
        <v>107</v>
      </c>
      <c r="D37" s="374" t="s">
        <v>430</v>
      </c>
      <c r="E37" s="374" t="s">
        <v>430</v>
      </c>
      <c r="F37" s="374" t="s">
        <v>430</v>
      </c>
      <c r="G37" s="374" t="s">
        <v>430</v>
      </c>
      <c r="H37" s="394" t="s">
        <v>430</v>
      </c>
      <c r="I37" s="394" t="s">
        <v>430</v>
      </c>
      <c r="J37" s="394" t="s">
        <v>430</v>
      </c>
      <c r="K37" s="394" t="s">
        <v>430</v>
      </c>
      <c r="L37" s="374" t="s">
        <v>430</v>
      </c>
    </row>
    <row r="38" spans="1:12" s="285" customFormat="1" ht="10.7" customHeight="1">
      <c r="A38" s="321"/>
      <c r="B38" s="1255" t="s">
        <v>461</v>
      </c>
      <c r="C38" s="1255" t="s">
        <v>108</v>
      </c>
      <c r="D38" s="32" t="s">
        <v>430</v>
      </c>
      <c r="E38" s="16">
        <v>7.9799999999999995</v>
      </c>
      <c r="F38" s="532">
        <v>9</v>
      </c>
      <c r="G38" s="32" t="s">
        <v>430</v>
      </c>
      <c r="H38" s="16" t="s">
        <v>430</v>
      </c>
      <c r="I38" s="16">
        <v>9.4700000000000006</v>
      </c>
      <c r="J38" s="16" t="s">
        <v>430</v>
      </c>
      <c r="K38" s="16" t="s">
        <v>430</v>
      </c>
      <c r="L38" s="532" t="s">
        <v>430</v>
      </c>
    </row>
    <row r="39" spans="1:12" s="285" customFormat="1" ht="10.7" customHeight="1">
      <c r="A39" s="400"/>
      <c r="B39" s="382" t="s">
        <v>462</v>
      </c>
      <c r="C39" s="382" t="s">
        <v>109</v>
      </c>
      <c r="D39" s="374" t="s">
        <v>430</v>
      </c>
      <c r="E39" s="374" t="s">
        <v>430</v>
      </c>
      <c r="F39" s="374" t="s">
        <v>430</v>
      </c>
      <c r="G39" s="374" t="s">
        <v>430</v>
      </c>
      <c r="H39" s="394" t="s">
        <v>430</v>
      </c>
      <c r="I39" s="394" t="s">
        <v>430</v>
      </c>
      <c r="J39" s="394" t="s">
        <v>430</v>
      </c>
      <c r="K39" s="394" t="s">
        <v>430</v>
      </c>
      <c r="L39" s="374" t="s">
        <v>430</v>
      </c>
    </row>
    <row r="40" spans="1:12" s="285" customFormat="1" ht="10.7" customHeight="1">
      <c r="A40" s="321"/>
      <c r="B40" s="1255" t="s">
        <v>463</v>
      </c>
      <c r="C40" s="1255" t="s">
        <v>110</v>
      </c>
      <c r="D40" s="32" t="s">
        <v>430</v>
      </c>
      <c r="E40" s="32" t="s">
        <v>430</v>
      </c>
      <c r="F40" s="532">
        <v>9</v>
      </c>
      <c r="G40" s="32">
        <v>7.0000000000000009</v>
      </c>
      <c r="H40" s="16">
        <v>6.96</v>
      </c>
      <c r="I40" s="16" t="s">
        <v>430</v>
      </c>
      <c r="J40" s="16" t="s">
        <v>430</v>
      </c>
      <c r="K40" s="16" t="s">
        <v>430</v>
      </c>
      <c r="L40" s="532" t="s">
        <v>430</v>
      </c>
    </row>
    <row r="41" spans="1:12" s="285" customFormat="1" ht="10.7" customHeight="1">
      <c r="A41" s="400"/>
      <c r="B41" s="382" t="s">
        <v>464</v>
      </c>
      <c r="C41" s="382" t="s">
        <v>111</v>
      </c>
      <c r="D41" s="374" t="s">
        <v>430</v>
      </c>
      <c r="E41" s="374" t="s">
        <v>430</v>
      </c>
      <c r="F41" s="374" t="s">
        <v>430</v>
      </c>
      <c r="G41" s="374">
        <v>7.0000000000000009</v>
      </c>
      <c r="H41" s="394" t="s">
        <v>430</v>
      </c>
      <c r="I41" s="394" t="s">
        <v>430</v>
      </c>
      <c r="J41" s="394">
        <v>4</v>
      </c>
      <c r="K41" s="394" t="s">
        <v>430</v>
      </c>
      <c r="L41" s="374" t="s">
        <v>430</v>
      </c>
    </row>
    <row r="42" spans="1:12" s="285" customFormat="1" ht="10.7" customHeight="1">
      <c r="A42" s="321"/>
      <c r="B42" s="1255" t="s">
        <v>635</v>
      </c>
      <c r="C42" s="1255" t="s">
        <v>636</v>
      </c>
      <c r="D42" s="16">
        <v>8.3800000000000008</v>
      </c>
      <c r="E42" s="16">
        <v>7.9799999999999995</v>
      </c>
      <c r="F42" s="532">
        <v>9</v>
      </c>
      <c r="G42" s="32" t="s">
        <v>430</v>
      </c>
      <c r="H42" s="16" t="s">
        <v>430</v>
      </c>
      <c r="I42" s="16">
        <v>10.15</v>
      </c>
      <c r="J42" s="16" t="s">
        <v>430</v>
      </c>
      <c r="K42" s="16">
        <v>8.23</v>
      </c>
      <c r="L42" s="532" t="s">
        <v>430</v>
      </c>
    </row>
    <row r="43" spans="1:12" s="285" customFormat="1" ht="10.7" customHeight="1">
      <c r="A43" s="400"/>
      <c r="B43" s="382" t="s">
        <v>637</v>
      </c>
      <c r="C43" s="382" t="s">
        <v>639</v>
      </c>
      <c r="D43" s="394">
        <v>7.37</v>
      </c>
      <c r="E43" s="394">
        <v>7.9799999999999995</v>
      </c>
      <c r="F43" s="374">
        <v>8.75</v>
      </c>
      <c r="G43" s="374" t="s">
        <v>430</v>
      </c>
      <c r="H43" s="394" t="s">
        <v>430</v>
      </c>
      <c r="I43" s="394">
        <v>8.64</v>
      </c>
      <c r="J43" s="394" t="s">
        <v>430</v>
      </c>
      <c r="K43" s="394">
        <v>8.43</v>
      </c>
      <c r="L43" s="374" t="s">
        <v>430</v>
      </c>
    </row>
    <row r="44" spans="1:12" s="285" customFormat="1" ht="10.7" customHeight="1">
      <c r="A44" s="321"/>
      <c r="B44" s="533" t="s">
        <v>640</v>
      </c>
      <c r="C44" s="1251" t="s">
        <v>1005</v>
      </c>
      <c r="D44" s="425">
        <v>7.91</v>
      </c>
      <c r="E44" s="425">
        <v>7.9799999999999995</v>
      </c>
      <c r="F44" s="532" t="s">
        <v>430</v>
      </c>
      <c r="G44" s="32">
        <v>6</v>
      </c>
      <c r="H44" s="425" t="s">
        <v>430</v>
      </c>
      <c r="I44" s="425" t="s">
        <v>430</v>
      </c>
      <c r="J44" s="425" t="s">
        <v>430</v>
      </c>
      <c r="K44" s="425">
        <v>7.4</v>
      </c>
      <c r="L44" s="532">
        <v>10.57</v>
      </c>
    </row>
    <row r="45" spans="1:12" s="285" customFormat="1" ht="10.7" customHeight="1">
      <c r="A45" s="400"/>
      <c r="B45" s="402" t="s">
        <v>641</v>
      </c>
      <c r="C45" s="397" t="s">
        <v>1006</v>
      </c>
      <c r="D45" s="404">
        <v>7.37</v>
      </c>
      <c r="E45" s="404">
        <v>7.9799999999999995</v>
      </c>
      <c r="F45" s="374">
        <v>8.5</v>
      </c>
      <c r="G45" s="374">
        <v>6</v>
      </c>
      <c r="H45" s="404" t="s">
        <v>430</v>
      </c>
      <c r="I45" s="404" t="s">
        <v>430</v>
      </c>
      <c r="J45" s="404" t="s">
        <v>430</v>
      </c>
      <c r="K45" s="404" t="s">
        <v>430</v>
      </c>
      <c r="L45" s="374">
        <v>9.68</v>
      </c>
    </row>
    <row r="46" spans="1:12" s="285" customFormat="1" ht="10.7" customHeight="1">
      <c r="A46" s="321"/>
      <c r="B46" s="424" t="s">
        <v>411</v>
      </c>
      <c r="C46" s="583" t="s">
        <v>412</v>
      </c>
      <c r="D46" s="32" t="s">
        <v>430</v>
      </c>
      <c r="E46" s="584">
        <v>7.9799999999999995</v>
      </c>
      <c r="F46" s="1245">
        <v>8.5</v>
      </c>
      <c r="G46" s="32" t="s">
        <v>430</v>
      </c>
      <c r="H46" s="584" t="s">
        <v>430</v>
      </c>
      <c r="I46" s="584">
        <v>9.07</v>
      </c>
      <c r="J46" s="584" t="s">
        <v>430</v>
      </c>
      <c r="K46" s="584" t="s">
        <v>430</v>
      </c>
      <c r="L46" s="1245">
        <v>9.48</v>
      </c>
    </row>
    <row r="47" spans="1:12" s="332" customFormat="1" ht="10.7" customHeight="1">
      <c r="A47" s="401" t="s">
        <v>794</v>
      </c>
      <c r="B47" s="2193" t="s">
        <v>55</v>
      </c>
      <c r="C47" s="2193"/>
      <c r="D47" s="374" t="s">
        <v>430</v>
      </c>
      <c r="E47" s="394">
        <v>3</v>
      </c>
      <c r="F47" s="374" t="s">
        <v>430</v>
      </c>
      <c r="G47" s="374" t="s">
        <v>430</v>
      </c>
      <c r="H47" s="394">
        <v>2.87</v>
      </c>
      <c r="I47" s="394">
        <v>6.51</v>
      </c>
      <c r="J47" s="394">
        <v>2</v>
      </c>
      <c r="K47" s="394" t="s">
        <v>430</v>
      </c>
      <c r="L47" s="374" t="s">
        <v>430</v>
      </c>
    </row>
    <row r="48" spans="1:12" s="285" customFormat="1" ht="10.7" customHeight="1">
      <c r="A48" s="534" t="s">
        <v>795</v>
      </c>
      <c r="B48" s="2199" t="s">
        <v>56</v>
      </c>
      <c r="C48" s="2199"/>
      <c r="D48" s="32"/>
      <c r="E48" s="32"/>
      <c r="F48" s="532"/>
      <c r="G48" s="32"/>
      <c r="H48" s="16"/>
      <c r="I48" s="16"/>
      <c r="J48" s="16"/>
      <c r="K48" s="16"/>
      <c r="L48" s="532"/>
    </row>
    <row r="49" spans="1:12" s="285" customFormat="1" ht="10.7" customHeight="1">
      <c r="A49" s="400"/>
      <c r="B49" s="382" t="s">
        <v>822</v>
      </c>
      <c r="C49" s="382" t="s">
        <v>277</v>
      </c>
      <c r="D49" s="374"/>
      <c r="E49" s="374"/>
      <c r="F49" s="374"/>
      <c r="G49" s="374"/>
      <c r="H49" s="394"/>
      <c r="I49" s="394"/>
      <c r="J49" s="394"/>
      <c r="K49" s="394"/>
      <c r="L49" s="374"/>
    </row>
    <row r="50" spans="1:12" s="285" customFormat="1" ht="10.7" customHeight="1">
      <c r="A50" s="321"/>
      <c r="B50" s="1255"/>
      <c r="C50" s="1255" t="s">
        <v>534</v>
      </c>
      <c r="D50" s="16">
        <v>8.3800000000000008</v>
      </c>
      <c r="E50" s="16">
        <v>7.9799999999999995</v>
      </c>
      <c r="F50" s="532" t="s">
        <v>430</v>
      </c>
      <c r="G50" s="532">
        <v>7.0000000000000009</v>
      </c>
      <c r="H50" s="16">
        <v>7.86</v>
      </c>
      <c r="I50" s="16" t="s">
        <v>430</v>
      </c>
      <c r="J50" s="16" t="s">
        <v>430</v>
      </c>
      <c r="K50" s="16" t="s">
        <v>430</v>
      </c>
      <c r="L50" s="532">
        <v>10.17</v>
      </c>
    </row>
    <row r="51" spans="1:12" s="285" customFormat="1" ht="10.7" customHeight="1">
      <c r="A51" s="400"/>
      <c r="B51" s="382"/>
      <c r="C51" s="382" t="s">
        <v>532</v>
      </c>
      <c r="D51" s="394">
        <v>8.7099999999999991</v>
      </c>
      <c r="E51" s="394">
        <v>7.9799999999999995</v>
      </c>
      <c r="F51" s="374" t="s">
        <v>785</v>
      </c>
      <c r="G51" s="374" t="s">
        <v>430</v>
      </c>
      <c r="H51" s="394">
        <v>8.19</v>
      </c>
      <c r="I51" s="394" t="s">
        <v>430</v>
      </c>
      <c r="J51" s="394" t="s">
        <v>430</v>
      </c>
      <c r="K51" s="394" t="s">
        <v>430</v>
      </c>
      <c r="L51" s="374" t="s">
        <v>430</v>
      </c>
    </row>
    <row r="52" spans="1:12" s="285" customFormat="1" ht="10.7" customHeight="1">
      <c r="A52" s="321"/>
      <c r="B52" s="1255"/>
      <c r="C52" s="1255" t="s">
        <v>533</v>
      </c>
      <c r="D52" s="32" t="s">
        <v>430</v>
      </c>
      <c r="E52" s="16">
        <v>7.9799999999999995</v>
      </c>
      <c r="F52" s="532" t="s">
        <v>785</v>
      </c>
      <c r="G52" s="32" t="s">
        <v>430</v>
      </c>
      <c r="H52" s="16" t="s">
        <v>430</v>
      </c>
      <c r="I52" s="16" t="s">
        <v>430</v>
      </c>
      <c r="J52" s="16" t="s">
        <v>430</v>
      </c>
      <c r="K52" s="16" t="s">
        <v>430</v>
      </c>
      <c r="L52" s="532" t="s">
        <v>430</v>
      </c>
    </row>
    <row r="53" spans="1:12" s="285" customFormat="1" ht="10.7" customHeight="1">
      <c r="A53" s="400"/>
      <c r="B53" s="403" t="s">
        <v>824</v>
      </c>
      <c r="C53" s="382" t="s">
        <v>535</v>
      </c>
      <c r="D53" s="374" t="s">
        <v>430</v>
      </c>
      <c r="E53" s="394">
        <v>7.9799999999999995</v>
      </c>
      <c r="F53" s="374">
        <v>9</v>
      </c>
      <c r="G53" s="374" t="s">
        <v>430</v>
      </c>
      <c r="H53" s="394" t="s">
        <v>430</v>
      </c>
      <c r="I53" s="394">
        <v>10.31</v>
      </c>
      <c r="J53" s="394" t="s">
        <v>430</v>
      </c>
      <c r="K53" s="394">
        <v>7.07</v>
      </c>
      <c r="L53" s="374" t="s">
        <v>430</v>
      </c>
    </row>
    <row r="54" spans="1:12" s="585" customFormat="1" ht="10.7" customHeight="1" thickBot="1">
      <c r="A54" s="581"/>
      <c r="B54" s="571" t="s">
        <v>826</v>
      </c>
      <c r="C54" s="571" t="s">
        <v>57</v>
      </c>
      <c r="D54" s="582">
        <v>9.0499999999999989</v>
      </c>
      <c r="E54" s="582">
        <v>7.9799999999999995</v>
      </c>
      <c r="F54" s="955">
        <v>10.5</v>
      </c>
      <c r="G54" s="1246" t="s">
        <v>430</v>
      </c>
      <c r="H54" s="582">
        <v>7.78</v>
      </c>
      <c r="I54" s="582" t="s">
        <v>430</v>
      </c>
      <c r="J54" s="582" t="s">
        <v>430</v>
      </c>
      <c r="K54" s="582">
        <v>7.65</v>
      </c>
      <c r="L54" s="955" t="s">
        <v>430</v>
      </c>
    </row>
    <row r="55" spans="1:12" s="40" customFormat="1" ht="9.75" customHeight="1">
      <c r="A55" s="2067" t="s">
        <v>1650</v>
      </c>
      <c r="B55" s="2076"/>
      <c r="C55" s="2076"/>
      <c r="D55" s="2076"/>
      <c r="E55" s="132"/>
      <c r="F55" s="132"/>
      <c r="G55" s="1263"/>
      <c r="H55" s="132"/>
      <c r="I55" s="132"/>
      <c r="J55" s="132"/>
      <c r="K55" s="132"/>
    </row>
    <row r="56" spans="1:12" s="8" customFormat="1" ht="9" customHeight="1">
      <c r="A56" s="9"/>
      <c r="C56" s="68" t="s">
        <v>536</v>
      </c>
      <c r="D56" s="31"/>
      <c r="E56" s="31"/>
      <c r="F56" s="31"/>
      <c r="G56" s="280"/>
      <c r="H56" s="31"/>
      <c r="I56" s="31"/>
      <c r="J56" s="31"/>
      <c r="K56" s="31"/>
    </row>
  </sheetData>
  <mergeCells count="11">
    <mergeCell ref="B16:C16"/>
    <mergeCell ref="B47:C47"/>
    <mergeCell ref="B48:C48"/>
    <mergeCell ref="A55:D55"/>
    <mergeCell ref="B12:C12"/>
    <mergeCell ref="B5:C5"/>
    <mergeCell ref="A1:J1"/>
    <mergeCell ref="K1:L1"/>
    <mergeCell ref="J2:L2"/>
    <mergeCell ref="A3:C3"/>
    <mergeCell ref="B4:C4"/>
  </mergeCells>
  <pageMargins left="0.47" right="0.314" top="0.52" bottom="0.157" header="0.18" footer="0.39300000000000002"/>
  <pageSetup paperSize="448" firstPageNumber="74" orientation="portrait" useFirstPageNumber="1" r:id="rId1"/>
  <headerFooter>
    <oddFooter>&amp;C&amp;"Times New Roman,Regular"&amp;8&amp;P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1"/>
  <dimension ref="A1:AN79"/>
  <sheetViews>
    <sheetView zoomScale="130" zoomScaleNormal="130" workbookViewId="0">
      <pane xSplit="1" ySplit="5" topLeftCell="B41" activePane="bottomRight" state="frozen"/>
      <selection activeCell="G9" sqref="G9"/>
      <selection pane="topRight" activeCell="G9" sqref="G9"/>
      <selection pane="bottomLeft" activeCell="G9" sqref="G9"/>
      <selection pane="bottomRight" activeCell="N57" sqref="N57"/>
    </sheetView>
  </sheetViews>
  <sheetFormatPr defaultColWidth="9.140625" defaultRowHeight="11.25"/>
  <cols>
    <col min="1" max="1" width="7.7109375" style="19" customWidth="1"/>
    <col min="2" max="2" width="5.7109375" style="8" customWidth="1"/>
    <col min="3" max="3" width="6.28515625" style="8" customWidth="1"/>
    <col min="4" max="4" width="5.28515625" style="8" customWidth="1"/>
    <col min="5" max="5" width="5.5703125" style="8" customWidth="1"/>
    <col min="6" max="7" width="6" style="8" customWidth="1"/>
    <col min="8" max="8" width="5.85546875" style="8" customWidth="1"/>
    <col min="9" max="9" width="6" style="8" customWidth="1"/>
    <col min="10" max="10" width="5.5703125" style="8" customWidth="1"/>
    <col min="11" max="11" width="6" style="8" customWidth="1"/>
    <col min="12" max="12" width="7.5703125" style="8" customWidth="1"/>
    <col min="13" max="13" width="5.28515625" style="8" customWidth="1"/>
    <col min="14" max="14" width="8" style="19" customWidth="1"/>
    <col min="15" max="15" width="5.42578125" style="8" customWidth="1"/>
    <col min="16" max="16" width="6.140625" style="8" customWidth="1"/>
    <col min="17" max="17" width="5.28515625" style="8" customWidth="1"/>
    <col min="18" max="18" width="5.7109375" style="8" customWidth="1"/>
    <col min="19" max="19" width="6.140625" style="8" customWidth="1"/>
    <col min="20" max="20" width="5.5703125" style="8" customWidth="1"/>
    <col min="21" max="21" width="5.42578125" style="8" customWidth="1"/>
    <col min="22" max="22" width="6.5703125" style="8" customWidth="1"/>
    <col min="23" max="23" width="5.85546875" style="8" customWidth="1"/>
    <col min="24" max="24" width="6" style="8" customWidth="1"/>
    <col min="25" max="25" width="6.42578125" style="8" customWidth="1"/>
    <col min="26" max="26" width="6" style="8" customWidth="1"/>
    <col min="27" max="27" width="7.85546875" style="19" customWidth="1"/>
    <col min="28" max="29" width="6" style="8" customWidth="1"/>
    <col min="30" max="30" width="5.7109375" style="8" customWidth="1"/>
    <col min="31" max="31" width="5.85546875" style="8" customWidth="1"/>
    <col min="32" max="32" width="6.42578125" style="8" customWidth="1"/>
    <col min="33" max="33" width="5.42578125" style="8" customWidth="1"/>
    <col min="34" max="34" width="5.85546875" style="8" customWidth="1"/>
    <col min="35" max="35" width="6.28515625" style="8" customWidth="1"/>
    <col min="36" max="36" width="5.85546875" style="8" customWidth="1"/>
    <col min="37" max="37" width="5.5703125" style="8" customWidth="1"/>
    <col min="38" max="39" width="6" style="8" customWidth="1"/>
    <col min="40" max="16384" width="9.140625" style="8"/>
  </cols>
  <sheetData>
    <row r="1" spans="1:39" s="25" customFormat="1" ht="35.25" customHeight="1">
      <c r="B1" s="2210" t="s">
        <v>59</v>
      </c>
      <c r="C1" s="2210"/>
      <c r="D1" s="2210"/>
      <c r="E1" s="2210"/>
      <c r="F1" s="2210"/>
      <c r="G1" s="2210"/>
      <c r="H1" s="2210"/>
      <c r="I1" s="2210"/>
      <c r="J1" s="26"/>
      <c r="K1" s="2209" t="s">
        <v>805</v>
      </c>
      <c r="L1" s="2209"/>
      <c r="M1" s="2209"/>
      <c r="O1" s="2210" t="s">
        <v>17</v>
      </c>
      <c r="P1" s="2210"/>
      <c r="Q1" s="2210"/>
      <c r="R1" s="2210"/>
      <c r="S1" s="2210"/>
      <c r="T1" s="2210"/>
      <c r="U1" s="2210"/>
      <c r="V1" s="2210"/>
      <c r="W1" s="26"/>
      <c r="X1" s="2209" t="s">
        <v>805</v>
      </c>
      <c r="Y1" s="2209"/>
      <c r="Z1" s="2209"/>
      <c r="AB1" s="2210" t="s">
        <v>18</v>
      </c>
      <c r="AC1" s="2210"/>
      <c r="AD1" s="2210"/>
      <c r="AE1" s="2210"/>
      <c r="AF1" s="2210"/>
      <c r="AG1" s="2210"/>
      <c r="AH1" s="2210"/>
      <c r="AI1" s="2210"/>
      <c r="AJ1" s="26"/>
      <c r="AK1" s="2209" t="s">
        <v>809</v>
      </c>
      <c r="AL1" s="2209"/>
      <c r="AM1" s="2209"/>
    </row>
    <row r="2" spans="1:39" s="25" customFormat="1" ht="12" customHeight="1">
      <c r="B2" s="119"/>
      <c r="C2" s="119"/>
      <c r="D2" s="119"/>
      <c r="E2" s="119"/>
      <c r="F2" s="119"/>
      <c r="G2" s="119"/>
      <c r="H2" s="119"/>
      <c r="I2" s="119"/>
      <c r="J2" s="119"/>
      <c r="K2" s="2061" t="s">
        <v>690</v>
      </c>
      <c r="L2" s="2061"/>
      <c r="M2" s="2061"/>
      <c r="N2" s="93"/>
      <c r="O2" s="93"/>
      <c r="P2" s="93"/>
      <c r="Q2" s="93"/>
      <c r="R2" s="93"/>
      <c r="S2" s="93"/>
      <c r="T2" s="93"/>
      <c r="U2" s="93"/>
      <c r="V2" s="93"/>
      <c r="W2" s="93"/>
      <c r="X2" s="2208" t="s">
        <v>690</v>
      </c>
      <c r="Y2" s="2208"/>
      <c r="Z2" s="2208"/>
      <c r="AK2" s="2208" t="s">
        <v>690</v>
      </c>
      <c r="AL2" s="2208"/>
      <c r="AM2" s="2208"/>
    </row>
    <row r="3" spans="1:39" ht="12.75" customHeight="1">
      <c r="A3" s="2030" t="s">
        <v>663</v>
      </c>
      <c r="B3" s="2211" t="s">
        <v>2614</v>
      </c>
      <c r="C3" s="2212"/>
      <c r="D3" s="2212"/>
      <c r="E3" s="2212"/>
      <c r="F3" s="2212"/>
      <c r="G3" s="2212"/>
      <c r="H3" s="2212"/>
      <c r="I3" s="2212"/>
      <c r="J3" s="2212"/>
      <c r="K3" s="2212"/>
      <c r="L3" s="2212"/>
      <c r="M3" s="2213"/>
      <c r="N3" s="2030" t="s">
        <v>663</v>
      </c>
      <c r="O3" s="2057" t="s">
        <v>691</v>
      </c>
      <c r="P3" s="2062"/>
      <c r="Q3" s="2062"/>
      <c r="R3" s="2062"/>
      <c r="S3" s="2062"/>
      <c r="T3" s="2062"/>
      <c r="U3" s="2062"/>
      <c r="V3" s="2062"/>
      <c r="W3" s="2062"/>
      <c r="X3" s="2062"/>
      <c r="Y3" s="2062"/>
      <c r="Z3" s="2058"/>
      <c r="AA3" s="2030" t="s">
        <v>663</v>
      </c>
      <c r="AB3" s="2057" t="s">
        <v>691</v>
      </c>
      <c r="AC3" s="2062"/>
      <c r="AD3" s="2062"/>
      <c r="AE3" s="2062"/>
      <c r="AF3" s="2062"/>
      <c r="AG3" s="2062"/>
      <c r="AH3" s="2062"/>
      <c r="AI3" s="2062"/>
      <c r="AJ3" s="2062"/>
      <c r="AK3" s="2062"/>
      <c r="AL3" s="2062"/>
      <c r="AM3" s="2058"/>
    </row>
    <row r="4" spans="1:39" s="20" customFormat="1" ht="12.75" customHeight="1">
      <c r="A4" s="2030"/>
      <c r="B4" s="2203" t="s">
        <v>80</v>
      </c>
      <c r="C4" s="2203"/>
      <c r="D4" s="2204"/>
      <c r="E4" s="2202" t="s">
        <v>830</v>
      </c>
      <c r="F4" s="2203"/>
      <c r="G4" s="2204"/>
      <c r="H4" s="2202" t="s">
        <v>828</v>
      </c>
      <c r="I4" s="2203"/>
      <c r="J4" s="2204"/>
      <c r="K4" s="2202" t="s">
        <v>81</v>
      </c>
      <c r="L4" s="2203"/>
      <c r="M4" s="2204"/>
      <c r="N4" s="2030"/>
      <c r="O4" s="2202" t="s">
        <v>80</v>
      </c>
      <c r="P4" s="2203"/>
      <c r="Q4" s="2204"/>
      <c r="R4" s="2202" t="s">
        <v>830</v>
      </c>
      <c r="S4" s="2203"/>
      <c r="T4" s="2204"/>
      <c r="U4" s="2202" t="s">
        <v>828</v>
      </c>
      <c r="V4" s="2203"/>
      <c r="W4" s="2204"/>
      <c r="X4" s="2202" t="s">
        <v>81</v>
      </c>
      <c r="Y4" s="2203"/>
      <c r="Z4" s="2204"/>
      <c r="AA4" s="2030"/>
      <c r="AB4" s="2202" t="s">
        <v>80</v>
      </c>
      <c r="AC4" s="2203"/>
      <c r="AD4" s="2204"/>
      <c r="AE4" s="2202" t="s">
        <v>830</v>
      </c>
      <c r="AF4" s="2203"/>
      <c r="AG4" s="2204"/>
      <c r="AH4" s="2202" t="s">
        <v>828</v>
      </c>
      <c r="AI4" s="2203"/>
      <c r="AJ4" s="2204"/>
      <c r="AK4" s="2202" t="s">
        <v>81</v>
      </c>
      <c r="AL4" s="2203"/>
      <c r="AM4" s="2204"/>
    </row>
    <row r="5" spans="1:39" s="20" customFormat="1" ht="22.5" customHeight="1">
      <c r="A5" s="2030"/>
      <c r="B5" s="143" t="s">
        <v>717</v>
      </c>
      <c r="C5" s="145" t="s">
        <v>82</v>
      </c>
      <c r="D5" s="146" t="s">
        <v>838</v>
      </c>
      <c r="E5" s="143" t="s">
        <v>717</v>
      </c>
      <c r="F5" s="38" t="s">
        <v>82</v>
      </c>
      <c r="G5" s="146" t="s">
        <v>838</v>
      </c>
      <c r="H5" s="143" t="s">
        <v>717</v>
      </c>
      <c r="I5" s="38" t="s">
        <v>82</v>
      </c>
      <c r="J5" s="146" t="s">
        <v>838</v>
      </c>
      <c r="K5" s="143" t="s">
        <v>717</v>
      </c>
      <c r="L5" s="38" t="s">
        <v>82</v>
      </c>
      <c r="M5" s="146" t="s">
        <v>838</v>
      </c>
      <c r="N5" s="2030"/>
      <c r="O5" s="143" t="s">
        <v>717</v>
      </c>
      <c r="P5" s="38" t="s">
        <v>82</v>
      </c>
      <c r="Q5" s="146" t="s">
        <v>838</v>
      </c>
      <c r="R5" s="143" t="s">
        <v>717</v>
      </c>
      <c r="S5" s="38" t="s">
        <v>82</v>
      </c>
      <c r="T5" s="146" t="s">
        <v>838</v>
      </c>
      <c r="U5" s="143" t="s">
        <v>717</v>
      </c>
      <c r="V5" s="38" t="s">
        <v>82</v>
      </c>
      <c r="W5" s="146" t="s">
        <v>838</v>
      </c>
      <c r="X5" s="143" t="s">
        <v>717</v>
      </c>
      <c r="Y5" s="38" t="s">
        <v>82</v>
      </c>
      <c r="Z5" s="146" t="s">
        <v>838</v>
      </c>
      <c r="AA5" s="2030"/>
      <c r="AB5" s="143" t="s">
        <v>717</v>
      </c>
      <c r="AC5" s="38" t="s">
        <v>82</v>
      </c>
      <c r="AD5" s="146" t="s">
        <v>838</v>
      </c>
      <c r="AE5" s="143" t="s">
        <v>717</v>
      </c>
      <c r="AF5" s="38" t="s">
        <v>82</v>
      </c>
      <c r="AG5" s="146" t="s">
        <v>838</v>
      </c>
      <c r="AH5" s="143" t="s">
        <v>717</v>
      </c>
      <c r="AI5" s="38" t="s">
        <v>82</v>
      </c>
      <c r="AJ5" s="146" t="s">
        <v>838</v>
      </c>
      <c r="AK5" s="143" t="s">
        <v>717</v>
      </c>
      <c r="AL5" s="38" t="s">
        <v>82</v>
      </c>
      <c r="AM5" s="146" t="s">
        <v>838</v>
      </c>
    </row>
    <row r="6" spans="1:39" s="334" customFormat="1" ht="11.1" customHeight="1">
      <c r="A6" s="307" t="s">
        <v>83</v>
      </c>
      <c r="B6" s="16">
        <v>0.16083333333333336</v>
      </c>
      <c r="C6" s="16">
        <v>0.2116666666666667</v>
      </c>
      <c r="D6" s="36">
        <v>0.13750000000000001</v>
      </c>
      <c r="E6" s="16">
        <v>0.33083333333333337</v>
      </c>
      <c r="F6" s="16">
        <v>0.33</v>
      </c>
      <c r="G6" s="36">
        <v>0.33916666666666667</v>
      </c>
      <c r="H6" s="16">
        <v>0.55583333333333329</v>
      </c>
      <c r="I6" s="16">
        <v>0.45</v>
      </c>
      <c r="J6" s="36">
        <v>0.6166666666666667</v>
      </c>
      <c r="K6" s="16">
        <v>0.89</v>
      </c>
      <c r="L6" s="16">
        <v>0.69666666666666666</v>
      </c>
      <c r="M6" s="36">
        <v>0.76916666666666655</v>
      </c>
      <c r="N6" s="307" t="s">
        <v>83</v>
      </c>
      <c r="O6" s="16">
        <v>0.19583333333333333</v>
      </c>
      <c r="P6" s="16">
        <v>0.46083333333333337</v>
      </c>
      <c r="Q6" s="36">
        <v>0.27500000000000002</v>
      </c>
      <c r="R6" s="16">
        <v>0.25</v>
      </c>
      <c r="S6" s="16">
        <v>0.5575</v>
      </c>
      <c r="T6" s="36">
        <v>0.41833333333333328</v>
      </c>
      <c r="U6" s="16">
        <v>0.40416666666666673</v>
      </c>
      <c r="V6" s="16">
        <v>0.60250000000000015</v>
      </c>
      <c r="W6" s="36">
        <v>0.52750000000000019</v>
      </c>
      <c r="X6" s="16">
        <v>0.79083333333333339</v>
      </c>
      <c r="Y6" s="16">
        <v>0.78749999999999998</v>
      </c>
      <c r="Z6" s="36">
        <v>0.70083333333333331</v>
      </c>
      <c r="AA6" s="307" t="s">
        <v>83</v>
      </c>
      <c r="AB6" s="16">
        <v>0.64916666666666656</v>
      </c>
      <c r="AC6" s="16">
        <v>0.12583333333333338</v>
      </c>
      <c r="AD6" s="36">
        <v>0.17166666666666666</v>
      </c>
      <c r="AE6" s="16">
        <v>0.80083333333333329</v>
      </c>
      <c r="AF6" s="16">
        <v>0.2383333333333334</v>
      </c>
      <c r="AG6" s="36">
        <v>0.30416666666666675</v>
      </c>
      <c r="AH6" s="16">
        <v>0.65083333333333337</v>
      </c>
      <c r="AI6" s="16">
        <v>0.34916666666666668</v>
      </c>
      <c r="AJ6" s="36">
        <v>0.44</v>
      </c>
      <c r="AK6" s="16">
        <v>0.81333333333333346</v>
      </c>
      <c r="AL6" s="16">
        <v>0.51416666666666677</v>
      </c>
      <c r="AM6" s="36">
        <v>0.57583333333333331</v>
      </c>
    </row>
    <row r="7" spans="1:39" s="334" customFormat="1" ht="11.1" customHeight="1">
      <c r="A7" s="382" t="s">
        <v>225</v>
      </c>
      <c r="B7" s="394">
        <v>0.16791666666666663</v>
      </c>
      <c r="C7" s="394">
        <v>0.24756944444444443</v>
      </c>
      <c r="D7" s="372">
        <v>0.43798611111111113</v>
      </c>
      <c r="E7" s="394">
        <v>0.33444444444444449</v>
      </c>
      <c r="F7" s="394">
        <v>0.39881944444444439</v>
      </c>
      <c r="G7" s="372">
        <v>0.64472222222222209</v>
      </c>
      <c r="H7" s="394">
        <v>0.50624999999999998</v>
      </c>
      <c r="I7" s="394">
        <v>0.66923611111111114</v>
      </c>
      <c r="J7" s="372">
        <v>0.94277777777777783</v>
      </c>
      <c r="K7" s="394">
        <v>0.73374999999999979</v>
      </c>
      <c r="L7" s="394">
        <v>0.93069444444444438</v>
      </c>
      <c r="M7" s="372">
        <v>1.0635416666666668</v>
      </c>
      <c r="N7" s="382" t="s">
        <v>225</v>
      </c>
      <c r="O7" s="394">
        <v>0.14000000000000004</v>
      </c>
      <c r="P7" s="394">
        <v>0.29643229166666668</v>
      </c>
      <c r="Q7" s="372">
        <v>0.40145833333333342</v>
      </c>
      <c r="R7" s="394">
        <v>0.19358333333333333</v>
      </c>
      <c r="S7" s="394">
        <v>0.41849999999999993</v>
      </c>
      <c r="T7" s="372">
        <v>0.53516666666666668</v>
      </c>
      <c r="U7" s="394">
        <v>0.28266666666666668</v>
      </c>
      <c r="V7" s="394">
        <v>0.55945833333333328</v>
      </c>
      <c r="W7" s="372">
        <v>0.64966666666666673</v>
      </c>
      <c r="X7" s="394">
        <v>0.5678333333333333</v>
      </c>
      <c r="Y7" s="394">
        <v>0.83166666666666655</v>
      </c>
      <c r="Z7" s="372">
        <v>0.87583333333333313</v>
      </c>
      <c r="AA7" s="382" t="s">
        <v>225</v>
      </c>
      <c r="AB7" s="394">
        <v>0.75583333333333336</v>
      </c>
      <c r="AC7" s="394">
        <v>0.28083333333333332</v>
      </c>
      <c r="AD7" s="372">
        <v>0.31277777777777777</v>
      </c>
      <c r="AE7" s="394">
        <v>1.0994444444444444</v>
      </c>
      <c r="AF7" s="394">
        <v>0.41625000000000001</v>
      </c>
      <c r="AG7" s="372">
        <v>0.53763888888888889</v>
      </c>
      <c r="AH7" s="394">
        <v>1.1913888888888888</v>
      </c>
      <c r="AI7" s="394">
        <v>0.5097222222222223</v>
      </c>
      <c r="AJ7" s="372">
        <v>0.62097222222222215</v>
      </c>
      <c r="AK7" s="394">
        <v>0.79916666666666647</v>
      </c>
      <c r="AL7" s="394">
        <v>0.54180555555555554</v>
      </c>
      <c r="AM7" s="372">
        <v>0.79249999999999998</v>
      </c>
    </row>
    <row r="8" spans="1:39" s="334" customFormat="1" ht="11.1" customHeight="1">
      <c r="A8" s="307" t="s">
        <v>972</v>
      </c>
      <c r="B8" s="16">
        <v>0.16916666666666666</v>
      </c>
      <c r="C8" s="16">
        <v>0.33805555555555555</v>
      </c>
      <c r="D8" s="36">
        <v>0.63222222222222213</v>
      </c>
      <c r="E8" s="16">
        <v>0.36666666666666664</v>
      </c>
      <c r="F8" s="16">
        <v>0.63055555555555565</v>
      </c>
      <c r="G8" s="36">
        <v>0.89583333333333337</v>
      </c>
      <c r="H8" s="16">
        <v>0.62444444444444447</v>
      </c>
      <c r="I8" s="16">
        <v>0.93444444444444441</v>
      </c>
      <c r="J8" s="36">
        <v>1.141388888888889</v>
      </c>
      <c r="K8" s="16">
        <v>0.8783333333333333</v>
      </c>
      <c r="L8" s="16">
        <v>1.2255555555555555</v>
      </c>
      <c r="M8" s="36">
        <v>1.3674999999999999</v>
      </c>
      <c r="N8" s="307" t="s">
        <v>972</v>
      </c>
      <c r="O8" s="16">
        <v>0.10250000000000002</v>
      </c>
      <c r="P8" s="16">
        <v>0.31416666666666665</v>
      </c>
      <c r="Q8" s="36">
        <v>0.57166666666666655</v>
      </c>
      <c r="R8" s="16">
        <v>0.21500000000000005</v>
      </c>
      <c r="S8" s="16">
        <v>0.50624999999999998</v>
      </c>
      <c r="T8" s="36">
        <v>0.72000000000000008</v>
      </c>
      <c r="U8" s="16">
        <v>0.34833333333333338</v>
      </c>
      <c r="V8" s="16">
        <v>0.65749999999999997</v>
      </c>
      <c r="W8" s="36">
        <v>0.81</v>
      </c>
      <c r="X8" s="16">
        <v>0.89416666666666655</v>
      </c>
      <c r="Y8" s="16">
        <v>0.95233333333333337</v>
      </c>
      <c r="Z8" s="36">
        <v>0.99500000000000011</v>
      </c>
      <c r="AA8" s="307" t="s">
        <v>972</v>
      </c>
      <c r="AB8" s="16">
        <v>0.55875000000000019</v>
      </c>
      <c r="AC8" s="16">
        <v>0.42166666666666669</v>
      </c>
      <c r="AD8" s="36">
        <v>0.5</v>
      </c>
      <c r="AE8" s="16">
        <v>1.0566666666666666</v>
      </c>
      <c r="AF8" s="16">
        <v>0.65499999999999992</v>
      </c>
      <c r="AG8" s="36">
        <v>0.75</v>
      </c>
      <c r="AH8" s="16">
        <v>1.4295833333333332</v>
      </c>
      <c r="AI8" s="16">
        <v>0.99749999999999972</v>
      </c>
      <c r="AJ8" s="36">
        <v>0.9312499999999998</v>
      </c>
      <c r="AK8" s="16">
        <v>1.1666666666666667</v>
      </c>
      <c r="AL8" s="16">
        <v>0.94083333333333341</v>
      </c>
      <c r="AM8" s="36">
        <v>1.25</v>
      </c>
    </row>
    <row r="9" spans="1:39" s="334" customFormat="1" ht="11.1" customHeight="1">
      <c r="A9" s="382" t="s">
        <v>1107</v>
      </c>
      <c r="B9" s="394">
        <v>0.16958333333333339</v>
      </c>
      <c r="C9" s="394">
        <v>0.21965277777777778</v>
      </c>
      <c r="D9" s="372">
        <v>3.6111111111111114E-3</v>
      </c>
      <c r="E9" s="394">
        <v>0.19888888888888887</v>
      </c>
      <c r="F9" s="394">
        <v>0.28486111111111112</v>
      </c>
      <c r="G9" s="372">
        <v>5.0833333333333341E-2</v>
      </c>
      <c r="H9" s="394">
        <v>0.35916666666666669</v>
      </c>
      <c r="I9" s="394">
        <v>0.44350694444444455</v>
      </c>
      <c r="J9" s="372">
        <v>0.12611111111111115</v>
      </c>
      <c r="K9" s="394">
        <v>0.59020833333333322</v>
      </c>
      <c r="L9" s="394">
        <v>0.70586805555555554</v>
      </c>
      <c r="M9" s="372">
        <v>0.26034722222222223</v>
      </c>
      <c r="N9" s="382" t="s">
        <v>1107</v>
      </c>
      <c r="O9" s="394">
        <v>9.2082500000000012E-2</v>
      </c>
      <c r="P9" s="394">
        <v>0.24228124999999998</v>
      </c>
      <c r="Q9" s="372">
        <v>0.18372943333333333</v>
      </c>
      <c r="R9" s="394">
        <v>0.18142521929166663</v>
      </c>
      <c r="S9" s="394">
        <v>0.38397137278333332</v>
      </c>
      <c r="T9" s="372">
        <v>0.29373464912499997</v>
      </c>
      <c r="U9" s="394">
        <v>0.29680622806666668</v>
      </c>
      <c r="V9" s="394">
        <v>0.43682707018333344</v>
      </c>
      <c r="W9" s="372">
        <v>0.38601997368333335</v>
      </c>
      <c r="X9" s="394">
        <v>0.80951328947222212</v>
      </c>
      <c r="Y9" s="394">
        <v>0.69534501314999997</v>
      </c>
      <c r="Z9" s="372">
        <v>0.51850818421666667</v>
      </c>
      <c r="AA9" s="382" t="s">
        <v>1107</v>
      </c>
      <c r="AB9" s="394">
        <v>0.55041666666666667</v>
      </c>
      <c r="AC9" s="394">
        <v>0.39874999999999999</v>
      </c>
      <c r="AD9" s="372">
        <v>0.5</v>
      </c>
      <c r="AE9" s="394">
        <v>1.4790416666666666</v>
      </c>
      <c r="AF9" s="394">
        <v>0.55916666666666681</v>
      </c>
      <c r="AG9" s="372">
        <v>0.75</v>
      </c>
      <c r="AH9" s="394">
        <v>1.4741041666666668</v>
      </c>
      <c r="AI9" s="394">
        <v>0.68750000000000011</v>
      </c>
      <c r="AJ9" s="372">
        <v>0.62416666666666665</v>
      </c>
      <c r="AK9" s="394">
        <v>1.2992333333333332</v>
      </c>
      <c r="AL9" s="394">
        <v>0.85916666666666675</v>
      </c>
      <c r="AM9" s="372">
        <v>1.25</v>
      </c>
    </row>
    <row r="10" spans="1:39" s="211" customFormat="1" ht="11.1" customHeight="1">
      <c r="A10" s="424" t="s">
        <v>1347</v>
      </c>
      <c r="B10" s="36">
        <v>6.9166666666666696E-2</v>
      </c>
      <c r="C10" s="36">
        <v>0.21207052083333333</v>
      </c>
      <c r="D10" s="36">
        <v>5.3333333333333337E-2</v>
      </c>
      <c r="E10" s="36">
        <v>4.8898611111111108E-2</v>
      </c>
      <c r="F10" s="36">
        <v>0.24257020833333334</v>
      </c>
      <c r="G10" s="36">
        <v>5.9166666666666666E-2</v>
      </c>
      <c r="H10" s="36">
        <v>0.10368437500000001</v>
      </c>
      <c r="I10" s="36">
        <v>0.331078125</v>
      </c>
      <c r="J10" s="36">
        <v>9.8393750000000002E-2</v>
      </c>
      <c r="K10" s="36">
        <v>0.28775562500000001</v>
      </c>
      <c r="L10" s="36">
        <v>0.54730156250000006</v>
      </c>
      <c r="M10" s="36">
        <v>0.19117562500000004</v>
      </c>
      <c r="N10" s="424" t="s">
        <v>1347</v>
      </c>
      <c r="O10" s="36">
        <v>0.23060208333333335</v>
      </c>
      <c r="P10" s="36">
        <v>0.28789062500000001</v>
      </c>
      <c r="Q10" s="36">
        <v>0.19963549999999999</v>
      </c>
      <c r="R10" s="36">
        <v>0.2548333333333333</v>
      </c>
      <c r="S10" s="36">
        <v>0.41539350876666664</v>
      </c>
      <c r="T10" s="36">
        <v>0.2763631944444444</v>
      </c>
      <c r="U10" s="36">
        <v>0.39922916666666658</v>
      </c>
      <c r="V10" s="36">
        <v>0.48461499999999996</v>
      </c>
      <c r="W10" s="36">
        <v>0.38448833333333332</v>
      </c>
      <c r="X10" s="36">
        <v>0.6540076388888888</v>
      </c>
      <c r="Y10" s="36">
        <v>0.80578854166666669</v>
      </c>
      <c r="Z10" s="36">
        <v>0.50327416666666669</v>
      </c>
      <c r="AA10" s="424" t="s">
        <v>1347</v>
      </c>
      <c r="AB10" s="36">
        <v>0.90791666666666659</v>
      </c>
      <c r="AC10" s="36">
        <v>0.38708333333333339</v>
      </c>
      <c r="AD10" s="36">
        <v>0.45583333333333326</v>
      </c>
      <c r="AE10" s="36">
        <v>1.1558333333333335</v>
      </c>
      <c r="AF10" s="36">
        <v>0.53583333333333349</v>
      </c>
      <c r="AG10" s="36">
        <v>0.66000000000000014</v>
      </c>
      <c r="AH10" s="36">
        <v>1.1683333333333334</v>
      </c>
      <c r="AI10" s="36">
        <v>0.61583333333333323</v>
      </c>
      <c r="AJ10" s="36">
        <v>0.76750000000000007</v>
      </c>
      <c r="AK10" s="36">
        <v>1.1204166666666668</v>
      </c>
      <c r="AL10" s="36">
        <v>0.79604166666666665</v>
      </c>
      <c r="AM10" s="36">
        <v>1.1550000000000002</v>
      </c>
    </row>
    <row r="11" spans="1:39" s="324" customFormat="1" ht="11.1" customHeight="1">
      <c r="A11" s="962" t="s">
        <v>1406</v>
      </c>
      <c r="B11" s="545">
        <v>6.0833333333333323E-2</v>
      </c>
      <c r="C11" s="545">
        <v>0.2014565555</v>
      </c>
      <c r="D11" s="545">
        <v>0</v>
      </c>
      <c r="E11" s="545">
        <v>3.8953055555555553E-2</v>
      </c>
      <c r="F11" s="545">
        <v>0.25167252783333338</v>
      </c>
      <c r="G11" s="545">
        <v>1.7500000000000002E-2</v>
      </c>
      <c r="H11" s="545">
        <v>8.435333333333335E-2</v>
      </c>
      <c r="I11" s="545">
        <v>0.36996055550000001</v>
      </c>
      <c r="J11" s="545">
        <v>1.0833333333333334E-2</v>
      </c>
      <c r="K11" s="545">
        <v>0.25765302783333327</v>
      </c>
      <c r="L11" s="545">
        <v>0.57783030549999992</v>
      </c>
      <c r="M11" s="545">
        <v>5.1990729166666673E-2</v>
      </c>
      <c r="N11" s="962" t="s">
        <v>1406</v>
      </c>
      <c r="O11" s="545">
        <v>0.417658549951267</v>
      </c>
      <c r="P11" s="545">
        <v>0.42778127485021789</v>
      </c>
      <c r="Q11" s="545">
        <v>0.25705915530303031</v>
      </c>
      <c r="R11" s="545">
        <v>0.39406351697994985</v>
      </c>
      <c r="S11" s="545">
        <v>0.5138648752314815</v>
      </c>
      <c r="T11" s="545">
        <v>0.27559262629540598</v>
      </c>
      <c r="U11" s="545">
        <v>0.71116524939227155</v>
      </c>
      <c r="V11" s="545">
        <v>0.68667745396825397</v>
      </c>
      <c r="W11" s="545">
        <v>0.4250588182539683</v>
      </c>
      <c r="X11" s="545">
        <v>0.81893196351991071</v>
      </c>
      <c r="Y11" s="545">
        <v>1.0508996562908497</v>
      </c>
      <c r="Z11" s="545">
        <v>0.52704765201465198</v>
      </c>
      <c r="AA11" s="962" t="s">
        <v>1406</v>
      </c>
      <c r="AB11" s="545">
        <v>1.0156928895833335</v>
      </c>
      <c r="AC11" s="545">
        <v>0.41749176666666665</v>
      </c>
      <c r="AD11" s="545">
        <v>0.46336752083333338</v>
      </c>
      <c r="AE11" s="545">
        <v>1.1542176916666664</v>
      </c>
      <c r="AF11" s="545">
        <v>0.57261966666666686</v>
      </c>
      <c r="AG11" s="545">
        <v>0.58483106666666662</v>
      </c>
      <c r="AH11" s="545">
        <v>0.76716723611111093</v>
      </c>
      <c r="AI11" s="545">
        <v>0.67324468055555553</v>
      </c>
      <c r="AJ11" s="545">
        <v>0.98999999999999988</v>
      </c>
      <c r="AK11" s="545">
        <v>0.94661391388888882</v>
      </c>
      <c r="AL11" s="545">
        <v>0.87057560555555547</v>
      </c>
      <c r="AM11" s="545">
        <v>1.0833333333333333</v>
      </c>
    </row>
    <row r="12" spans="1:39" s="324" customFormat="1" ht="11.1" customHeight="1">
      <c r="A12" s="1053" t="s">
        <v>1560</v>
      </c>
      <c r="B12" s="695">
        <v>0.13249999999999998</v>
      </c>
      <c r="C12" s="695">
        <v>0.18583333333333332</v>
      </c>
      <c r="D12" s="695">
        <v>0</v>
      </c>
      <c r="E12" s="695">
        <v>0.19583333333333333</v>
      </c>
      <c r="F12" s="695">
        <v>0.24333333333333332</v>
      </c>
      <c r="G12" s="695">
        <v>0</v>
      </c>
      <c r="H12" s="695">
        <v>0.34833333333333333</v>
      </c>
      <c r="I12" s="695">
        <v>0.36833333333333335</v>
      </c>
      <c r="J12" s="695">
        <v>0</v>
      </c>
      <c r="K12" s="695">
        <v>0.53416666666666668</v>
      </c>
      <c r="L12" s="695">
        <v>0.53833333333333333</v>
      </c>
      <c r="M12" s="695">
        <v>0</v>
      </c>
      <c r="N12" s="1053" t="s">
        <v>1560</v>
      </c>
      <c r="O12" s="695">
        <v>0.43916666666666665</v>
      </c>
      <c r="P12" s="695">
        <v>0.4283333333333334</v>
      </c>
      <c r="Q12" s="695">
        <v>0.29750000000000004</v>
      </c>
      <c r="R12" s="695">
        <v>0.47166666666666668</v>
      </c>
      <c r="S12" s="695">
        <v>0.50166666666666659</v>
      </c>
      <c r="T12" s="695">
        <v>0.3066666666666667</v>
      </c>
      <c r="U12" s="695">
        <v>1.1066666666666667</v>
      </c>
      <c r="V12" s="695">
        <v>0.70416666666666661</v>
      </c>
      <c r="W12" s="695">
        <v>0.48750000000000004</v>
      </c>
      <c r="X12" s="695">
        <v>1.1833333333333333</v>
      </c>
      <c r="Y12" s="695">
        <v>0.90083333333333326</v>
      </c>
      <c r="Z12" s="695">
        <v>0.51250000000000007</v>
      </c>
      <c r="AA12" s="1053" t="s">
        <v>1560</v>
      </c>
      <c r="AB12" s="695">
        <v>1.0274999999999999</v>
      </c>
      <c r="AC12" s="695">
        <v>0.43500000000000005</v>
      </c>
      <c r="AD12" s="695">
        <v>0.51666666666666672</v>
      </c>
      <c r="AE12" s="695">
        <v>1.1783333333333332</v>
      </c>
      <c r="AF12" s="695">
        <v>0.65</v>
      </c>
      <c r="AG12" s="695">
        <v>0.63166666666666671</v>
      </c>
      <c r="AH12" s="695">
        <v>0.83250000000000002</v>
      </c>
      <c r="AI12" s="695">
        <v>0.71166666666666656</v>
      </c>
      <c r="AJ12" s="695">
        <v>0.9</v>
      </c>
      <c r="AK12" s="695">
        <v>0.9558333333333332</v>
      </c>
      <c r="AL12" s="695">
        <v>0.89583333333333337</v>
      </c>
      <c r="AM12" s="695">
        <v>1.0983333333333334</v>
      </c>
    </row>
    <row r="13" spans="1:39" s="324" customFormat="1" ht="11.1" customHeight="1">
      <c r="A13" s="1284" t="s">
        <v>1596</v>
      </c>
      <c r="B13" s="545">
        <v>0.46749999999999997</v>
      </c>
      <c r="C13" s="545">
        <v>3.1666666666666676E-2</v>
      </c>
      <c r="D13" s="545">
        <v>0</v>
      </c>
      <c r="E13" s="545">
        <v>0.56916666666666671</v>
      </c>
      <c r="F13" s="545">
        <v>0.2525</v>
      </c>
      <c r="G13" s="545">
        <v>0</v>
      </c>
      <c r="H13" s="545">
        <v>0.86916666666666675</v>
      </c>
      <c r="I13" s="545">
        <v>0.21083333333333334</v>
      </c>
      <c r="J13" s="545">
        <v>0</v>
      </c>
      <c r="K13" s="545">
        <v>1.095</v>
      </c>
      <c r="L13" s="545">
        <v>0.36166666666666664</v>
      </c>
      <c r="M13" s="545">
        <v>0</v>
      </c>
      <c r="N13" s="1284" t="s">
        <v>1596</v>
      </c>
      <c r="O13" s="545">
        <v>0.48500000000000004</v>
      </c>
      <c r="P13" s="545">
        <v>0.30583333333333335</v>
      </c>
      <c r="Q13" s="545">
        <v>0.32083333333333336</v>
      </c>
      <c r="R13" s="545">
        <v>0.85083333333333344</v>
      </c>
      <c r="S13" s="545">
        <v>0.37666666666666665</v>
      </c>
      <c r="T13" s="545">
        <v>0.25500000000000006</v>
      </c>
      <c r="U13" s="545">
        <v>0.90499999999999992</v>
      </c>
      <c r="V13" s="545">
        <v>0.50666666666666671</v>
      </c>
      <c r="W13" s="545">
        <v>0.38333333333333336</v>
      </c>
      <c r="X13" s="545">
        <v>1.0366666666666666</v>
      </c>
      <c r="Y13" s="545">
        <v>0.62916666666666676</v>
      </c>
      <c r="Z13" s="545">
        <v>0.46416666666666662</v>
      </c>
      <c r="AA13" s="1284" t="s">
        <v>1596</v>
      </c>
      <c r="AB13" s="545">
        <v>1.01</v>
      </c>
      <c r="AC13" s="545">
        <v>0.44416666666666665</v>
      </c>
      <c r="AD13" s="545">
        <v>0.49166666666666664</v>
      </c>
      <c r="AE13" s="545">
        <v>1.1283333333333334</v>
      </c>
      <c r="AF13" s="545">
        <v>0.58333333333333337</v>
      </c>
      <c r="AG13" s="545">
        <v>0.47666666666666657</v>
      </c>
      <c r="AH13" s="545">
        <v>0.86666666666666659</v>
      </c>
      <c r="AI13" s="545">
        <v>0.67249999999999999</v>
      </c>
      <c r="AJ13" s="545">
        <v>0.72916666666666663</v>
      </c>
      <c r="AK13" s="545">
        <v>1.0458333333333332</v>
      </c>
      <c r="AL13" s="545">
        <v>0.80000000000000016</v>
      </c>
      <c r="AM13" s="545">
        <v>0.9291666666666667</v>
      </c>
    </row>
    <row r="14" spans="1:39" s="324" customFormat="1" ht="11.1" customHeight="1">
      <c r="A14" s="541" t="s">
        <v>1756</v>
      </c>
      <c r="B14" s="687">
        <v>1.0958333333333334</v>
      </c>
      <c r="C14" s="687">
        <v>0.17250000000000001</v>
      </c>
      <c r="D14" s="687">
        <v>0</v>
      </c>
      <c r="E14" s="687">
        <v>1.2591666666666668</v>
      </c>
      <c r="F14" s="687">
        <v>0.23833333333333337</v>
      </c>
      <c r="G14" s="687">
        <v>0</v>
      </c>
      <c r="H14" s="687">
        <v>1.7641666666666664</v>
      </c>
      <c r="I14" s="687">
        <v>0.40750000000000003</v>
      </c>
      <c r="J14" s="687">
        <v>0</v>
      </c>
      <c r="K14" s="687">
        <v>1.9741666666666668</v>
      </c>
      <c r="L14" s="687">
        <v>0.56000000000000005</v>
      </c>
      <c r="M14" s="687">
        <v>0</v>
      </c>
      <c r="N14" s="541" t="s">
        <v>1756</v>
      </c>
      <c r="O14" s="687">
        <v>0.77499999999999991</v>
      </c>
      <c r="P14" s="687">
        <v>0.30499999999999999</v>
      </c>
      <c r="Q14" s="687">
        <v>0.16999999999999996</v>
      </c>
      <c r="R14" s="687">
        <v>1.6150000000000002</v>
      </c>
      <c r="S14" s="687">
        <v>0.38666666666666671</v>
      </c>
      <c r="T14" s="687">
        <v>0.17833333333333332</v>
      </c>
      <c r="U14" s="687">
        <v>0.98749999999999993</v>
      </c>
      <c r="V14" s="687">
        <v>0.5083333333333333</v>
      </c>
      <c r="W14" s="687">
        <v>0.24583333333333335</v>
      </c>
      <c r="X14" s="687">
        <v>1.0891666666666666</v>
      </c>
      <c r="Y14" s="687">
        <v>0.57500000000000007</v>
      </c>
      <c r="Z14" s="687">
        <v>0.31749999999999995</v>
      </c>
      <c r="AA14" s="541" t="s">
        <v>1756</v>
      </c>
      <c r="AB14" s="687">
        <v>0.87833333333333341</v>
      </c>
      <c r="AC14" s="687">
        <v>0.53999999999999992</v>
      </c>
      <c r="AD14" s="687">
        <v>0.52083333333333337</v>
      </c>
      <c r="AE14" s="687">
        <v>0.79499999999999993</v>
      </c>
      <c r="AF14" s="687">
        <v>0.58083333333333342</v>
      </c>
      <c r="AG14" s="687">
        <v>0.38999999999999996</v>
      </c>
      <c r="AH14" s="687">
        <v>0.85083333333333322</v>
      </c>
      <c r="AI14" s="687">
        <v>0.66500000000000004</v>
      </c>
      <c r="AJ14" s="687">
        <v>0.57250000000000012</v>
      </c>
      <c r="AK14" s="687">
        <v>1.1216666666666666</v>
      </c>
      <c r="AL14" s="687">
        <v>0.76499999999999979</v>
      </c>
      <c r="AM14" s="687">
        <v>0.72166666666666668</v>
      </c>
    </row>
    <row r="15" spans="1:39" s="324" customFormat="1" ht="11.1" customHeight="1">
      <c r="A15" s="957" t="s">
        <v>1904</v>
      </c>
      <c r="B15" s="807">
        <f>AVERAGE(B16:B27)</f>
        <v>1.7266666666666666</v>
      </c>
      <c r="C15" s="807">
        <f t="shared" ref="C15:M15" si="0">AVERAGE(C16:C27)</f>
        <v>0.41750000000000004</v>
      </c>
      <c r="D15" s="807">
        <f t="shared" si="0"/>
        <v>0</v>
      </c>
      <c r="E15" s="807">
        <f t="shared" si="0"/>
        <v>1.8933333333333333</v>
      </c>
      <c r="F15" s="807">
        <f t="shared" si="0"/>
        <v>0.51500000000000001</v>
      </c>
      <c r="G15" s="807">
        <f t="shared" si="0"/>
        <v>0</v>
      </c>
      <c r="H15" s="807">
        <f t="shared" si="0"/>
        <v>2.4766666666666661</v>
      </c>
      <c r="I15" s="807">
        <f t="shared" si="0"/>
        <v>0.75499999999999989</v>
      </c>
      <c r="J15" s="807">
        <f t="shared" si="0"/>
        <v>0</v>
      </c>
      <c r="K15" s="807">
        <f t="shared" si="0"/>
        <v>2.6724999999999999</v>
      </c>
      <c r="L15" s="807">
        <f t="shared" si="0"/>
        <v>0.89916666666666678</v>
      </c>
      <c r="M15" s="807">
        <f t="shared" si="0"/>
        <v>0</v>
      </c>
      <c r="N15" s="961" t="s">
        <v>1904</v>
      </c>
      <c r="O15" s="807">
        <f t="shared" ref="O15:Z15" si="1">AVERAGE(O16:O27)</f>
        <v>1.3325</v>
      </c>
      <c r="P15" s="807">
        <f t="shared" si="1"/>
        <v>0.35666666666666669</v>
      </c>
      <c r="Q15" s="807">
        <f t="shared" si="1"/>
        <v>0.16249999999999998</v>
      </c>
      <c r="R15" s="807">
        <f t="shared" si="1"/>
        <v>1.6400000000000003</v>
      </c>
      <c r="S15" s="807">
        <f t="shared" si="1"/>
        <v>0.52083333333333337</v>
      </c>
      <c r="T15" s="807">
        <f t="shared" si="1"/>
        <v>0.16749999999999998</v>
      </c>
      <c r="U15" s="807">
        <f t="shared" si="1"/>
        <v>1.5008333333333335</v>
      </c>
      <c r="V15" s="807">
        <f t="shared" si="1"/>
        <v>0.56500000000000006</v>
      </c>
      <c r="W15" s="807">
        <f t="shared" si="1"/>
        <v>0.23916666666666667</v>
      </c>
      <c r="X15" s="807">
        <f t="shared" si="1"/>
        <v>1.6074999999999999</v>
      </c>
      <c r="Y15" s="807">
        <f t="shared" si="1"/>
        <v>0.69249999999999989</v>
      </c>
      <c r="Z15" s="807">
        <f t="shared" si="1"/>
        <v>0.3116666666666667</v>
      </c>
      <c r="AA15" s="957" t="s">
        <v>1904</v>
      </c>
      <c r="AB15" s="807">
        <f t="shared" ref="AB15:AM15" si="2">AVERAGE(AB16:AB27)</f>
        <v>1.0008333333333332</v>
      </c>
      <c r="AC15" s="807">
        <f t="shared" si="2"/>
        <v>0.60750000000000004</v>
      </c>
      <c r="AD15" s="807">
        <f t="shared" si="2"/>
        <v>0.54666666666666675</v>
      </c>
      <c r="AE15" s="807">
        <f t="shared" si="2"/>
        <v>0.80083333333333329</v>
      </c>
      <c r="AF15" s="807">
        <f t="shared" si="2"/>
        <v>0.63749999999999996</v>
      </c>
      <c r="AG15" s="807">
        <f t="shared" si="2"/>
        <v>0.36333333333333334</v>
      </c>
      <c r="AH15" s="807">
        <f t="shared" si="2"/>
        <v>1.0150000000000001</v>
      </c>
      <c r="AI15" s="807">
        <f t="shared" si="2"/>
        <v>0.76250000000000007</v>
      </c>
      <c r="AJ15" s="807">
        <f t="shared" si="2"/>
        <v>0.53000000000000014</v>
      </c>
      <c r="AK15" s="807">
        <f t="shared" si="2"/>
        <v>1.280833333333333</v>
      </c>
      <c r="AL15" s="807">
        <f t="shared" si="2"/>
        <v>0.83916666666666673</v>
      </c>
      <c r="AM15" s="807">
        <f t="shared" si="2"/>
        <v>0.70000000000000007</v>
      </c>
    </row>
    <row r="16" spans="1:39" s="324" customFormat="1" ht="11.1" customHeight="1">
      <c r="A16" s="968" t="s">
        <v>742</v>
      </c>
      <c r="B16" s="695">
        <v>1.51</v>
      </c>
      <c r="C16" s="695">
        <v>0.27</v>
      </c>
      <c r="D16" s="695">
        <v>0</v>
      </c>
      <c r="E16" s="695">
        <v>1.72</v>
      </c>
      <c r="F16" s="570">
        <v>0.41</v>
      </c>
      <c r="G16" s="695">
        <v>0</v>
      </c>
      <c r="H16" s="695">
        <v>2.3199999999999998</v>
      </c>
      <c r="I16" s="695">
        <v>0.62</v>
      </c>
      <c r="J16" s="695">
        <v>0</v>
      </c>
      <c r="K16" s="695">
        <v>2.59</v>
      </c>
      <c r="L16" s="695">
        <v>0.79</v>
      </c>
      <c r="M16" s="695">
        <v>0</v>
      </c>
      <c r="N16" s="968" t="s">
        <v>742</v>
      </c>
      <c r="O16" s="695">
        <v>1.17</v>
      </c>
      <c r="P16" s="570">
        <v>0.33</v>
      </c>
      <c r="Q16" s="570">
        <v>0.17</v>
      </c>
      <c r="R16" s="695">
        <v>2.23</v>
      </c>
      <c r="S16" s="695">
        <v>0.47</v>
      </c>
      <c r="T16" s="570">
        <v>0.17</v>
      </c>
      <c r="U16" s="695">
        <v>1.39</v>
      </c>
      <c r="V16" s="570">
        <v>0.55000000000000004</v>
      </c>
      <c r="W16" s="570">
        <v>0.24</v>
      </c>
      <c r="X16" s="695">
        <v>1.52</v>
      </c>
      <c r="Y16" s="570">
        <v>0.66</v>
      </c>
      <c r="Z16" s="695">
        <v>0.32</v>
      </c>
      <c r="AA16" s="968" t="s">
        <v>742</v>
      </c>
      <c r="AB16" s="695">
        <v>1.02</v>
      </c>
      <c r="AC16" s="695">
        <v>0.61</v>
      </c>
      <c r="AD16" s="695">
        <v>0.56999999999999995</v>
      </c>
      <c r="AE16" s="695">
        <v>0.74</v>
      </c>
      <c r="AF16" s="695">
        <v>0.6</v>
      </c>
      <c r="AG16" s="695">
        <v>0.37</v>
      </c>
      <c r="AH16" s="695">
        <v>0.95</v>
      </c>
      <c r="AI16" s="695">
        <v>0.75</v>
      </c>
      <c r="AJ16" s="695">
        <v>0.53</v>
      </c>
      <c r="AK16" s="695">
        <v>1.27</v>
      </c>
      <c r="AL16" s="695">
        <v>0.82</v>
      </c>
      <c r="AM16" s="695">
        <v>0.7</v>
      </c>
    </row>
    <row r="17" spans="1:39" s="324" customFormat="1" ht="11.1" customHeight="1">
      <c r="A17" s="999" t="s">
        <v>743</v>
      </c>
      <c r="B17" s="545">
        <v>1.51</v>
      </c>
      <c r="C17" s="545">
        <v>0.39</v>
      </c>
      <c r="D17" s="545">
        <v>0</v>
      </c>
      <c r="E17" s="545">
        <v>1.72</v>
      </c>
      <c r="F17" s="542">
        <v>0.48</v>
      </c>
      <c r="G17" s="545">
        <v>0</v>
      </c>
      <c r="H17" s="545">
        <v>2.33</v>
      </c>
      <c r="I17" s="545">
        <v>0.7</v>
      </c>
      <c r="J17" s="545">
        <v>0</v>
      </c>
      <c r="K17" s="545">
        <v>2.62</v>
      </c>
      <c r="L17" s="545">
        <v>0.85</v>
      </c>
      <c r="M17" s="545">
        <v>0</v>
      </c>
      <c r="N17" s="999" t="s">
        <v>743</v>
      </c>
      <c r="O17" s="545">
        <v>1.0900000000000001</v>
      </c>
      <c r="P17" s="542">
        <v>0.33</v>
      </c>
      <c r="Q17" s="542">
        <v>0.17</v>
      </c>
      <c r="R17" s="545">
        <v>2.15</v>
      </c>
      <c r="S17" s="545">
        <v>0.47</v>
      </c>
      <c r="T17" s="542">
        <v>0.17</v>
      </c>
      <c r="U17" s="545">
        <v>1.32</v>
      </c>
      <c r="V17" s="542">
        <v>0.54</v>
      </c>
      <c r="W17" s="542">
        <v>0.24</v>
      </c>
      <c r="X17" s="545">
        <v>1.42</v>
      </c>
      <c r="Y17" s="542">
        <v>0.63</v>
      </c>
      <c r="Z17" s="545">
        <v>0.31</v>
      </c>
      <c r="AA17" s="999" t="s">
        <v>743</v>
      </c>
      <c r="AB17" s="545">
        <v>1.1599999999999999</v>
      </c>
      <c r="AC17" s="545">
        <v>0.54</v>
      </c>
      <c r="AD17" s="545">
        <v>0.56999999999999995</v>
      </c>
      <c r="AE17" s="545">
        <v>0.74</v>
      </c>
      <c r="AF17" s="545">
        <v>0.68</v>
      </c>
      <c r="AG17" s="545">
        <v>0.37</v>
      </c>
      <c r="AH17" s="545">
        <v>0.96</v>
      </c>
      <c r="AI17" s="545">
        <v>0.73</v>
      </c>
      <c r="AJ17" s="545">
        <v>0.53</v>
      </c>
      <c r="AK17" s="545">
        <v>1.27</v>
      </c>
      <c r="AL17" s="545">
        <v>0.83</v>
      </c>
      <c r="AM17" s="545">
        <v>0.7</v>
      </c>
    </row>
    <row r="18" spans="1:39" s="324" customFormat="1" ht="11.1" customHeight="1">
      <c r="A18" s="1002" t="s">
        <v>737</v>
      </c>
      <c r="B18" s="695">
        <v>1.55</v>
      </c>
      <c r="C18" s="695">
        <v>0.43</v>
      </c>
      <c r="D18" s="695">
        <v>0</v>
      </c>
      <c r="E18" s="695">
        <v>1.72</v>
      </c>
      <c r="F18" s="570">
        <v>0.49</v>
      </c>
      <c r="G18" s="695">
        <v>0</v>
      </c>
      <c r="H18" s="695">
        <v>2.36</v>
      </c>
      <c r="I18" s="695">
        <v>0.71</v>
      </c>
      <c r="J18" s="695">
        <v>0</v>
      </c>
      <c r="K18" s="695">
        <v>2.66</v>
      </c>
      <c r="L18" s="695">
        <v>0.86</v>
      </c>
      <c r="M18" s="695">
        <v>0</v>
      </c>
      <c r="N18" s="1002" t="s">
        <v>737</v>
      </c>
      <c r="O18" s="695">
        <v>1.1499999999999999</v>
      </c>
      <c r="P18" s="695">
        <v>0.3</v>
      </c>
      <c r="Q18" s="570">
        <v>0.17</v>
      </c>
      <c r="R18" s="695">
        <v>2.19</v>
      </c>
      <c r="S18" s="695">
        <v>0.45</v>
      </c>
      <c r="T18" s="570">
        <v>0.17</v>
      </c>
      <c r="U18" s="695">
        <v>1.32</v>
      </c>
      <c r="V18" s="570">
        <v>0.53</v>
      </c>
      <c r="W18" s="570">
        <v>0.24</v>
      </c>
      <c r="X18" s="695">
        <v>1.45</v>
      </c>
      <c r="Y18" s="570">
        <v>0.63</v>
      </c>
      <c r="Z18" s="695">
        <v>0.31</v>
      </c>
      <c r="AA18" s="1002" t="s">
        <v>737</v>
      </c>
      <c r="AB18" s="695">
        <v>1.08</v>
      </c>
      <c r="AC18" s="695">
        <v>0.62</v>
      </c>
      <c r="AD18" s="695">
        <v>0.5</v>
      </c>
      <c r="AE18" s="695">
        <v>0.78</v>
      </c>
      <c r="AF18" s="695">
        <v>0.67</v>
      </c>
      <c r="AG18" s="695">
        <v>0.35</v>
      </c>
      <c r="AH18" s="695">
        <v>0.94</v>
      </c>
      <c r="AI18" s="695">
        <v>0.71</v>
      </c>
      <c r="AJ18" s="695">
        <v>0.53</v>
      </c>
      <c r="AK18" s="695">
        <v>1.26</v>
      </c>
      <c r="AL18" s="695">
        <v>0.83</v>
      </c>
      <c r="AM18" s="695">
        <v>0.7</v>
      </c>
    </row>
    <row r="19" spans="1:39" s="324" customFormat="1" ht="11.1" customHeight="1">
      <c r="A19" s="1009" t="s">
        <v>744</v>
      </c>
      <c r="B19" s="545">
        <v>1.65</v>
      </c>
      <c r="C19" s="545">
        <v>0.43</v>
      </c>
      <c r="D19" s="545">
        <v>0</v>
      </c>
      <c r="E19" s="545">
        <v>1.78</v>
      </c>
      <c r="F19" s="545">
        <v>0.5</v>
      </c>
      <c r="G19" s="545">
        <v>0</v>
      </c>
      <c r="H19" s="545">
        <v>2.4300000000000002</v>
      </c>
      <c r="I19" s="545">
        <v>0.71</v>
      </c>
      <c r="J19" s="545">
        <v>0</v>
      </c>
      <c r="K19" s="545">
        <v>2.74</v>
      </c>
      <c r="L19" s="545">
        <v>0.88</v>
      </c>
      <c r="M19" s="545">
        <v>0</v>
      </c>
      <c r="N19" s="1009" t="s">
        <v>744</v>
      </c>
      <c r="O19" s="545">
        <v>1.22</v>
      </c>
      <c r="P19" s="545">
        <v>0.33</v>
      </c>
      <c r="Q19" s="542">
        <v>0.17</v>
      </c>
      <c r="R19" s="545">
        <v>1.26</v>
      </c>
      <c r="S19" s="545">
        <v>0.47</v>
      </c>
      <c r="T19" s="542">
        <v>0.17</v>
      </c>
      <c r="U19" s="545">
        <v>1.44</v>
      </c>
      <c r="V19" s="542">
        <v>0.53</v>
      </c>
      <c r="W19" s="542">
        <v>0.25</v>
      </c>
      <c r="X19" s="545">
        <v>1.56</v>
      </c>
      <c r="Y19" s="542">
        <v>0.64</v>
      </c>
      <c r="Z19" s="545">
        <v>0.31</v>
      </c>
      <c r="AA19" s="1009" t="s">
        <v>744</v>
      </c>
      <c r="AB19" s="545">
        <v>1.0900000000000001</v>
      </c>
      <c r="AC19" s="545">
        <v>0.64</v>
      </c>
      <c r="AD19" s="545">
        <v>0.56999999999999995</v>
      </c>
      <c r="AE19" s="545">
        <v>0.72</v>
      </c>
      <c r="AF19" s="545">
        <v>0.65</v>
      </c>
      <c r="AG19" s="545">
        <v>0.37</v>
      </c>
      <c r="AH19" s="545">
        <v>0.99</v>
      </c>
      <c r="AI19" s="545">
        <v>0.76</v>
      </c>
      <c r="AJ19" s="545">
        <v>0.53</v>
      </c>
      <c r="AK19" s="545">
        <v>1.26</v>
      </c>
      <c r="AL19" s="545">
        <v>0.83</v>
      </c>
      <c r="AM19" s="545">
        <v>0.7</v>
      </c>
    </row>
    <row r="20" spans="1:39" s="324" customFormat="1" ht="11.1" customHeight="1">
      <c r="A20" s="1018" t="s">
        <v>745</v>
      </c>
      <c r="B20" s="695">
        <v>1.7</v>
      </c>
      <c r="C20" s="695">
        <v>0.43</v>
      </c>
      <c r="D20" s="695">
        <v>0</v>
      </c>
      <c r="E20" s="695">
        <v>1.95</v>
      </c>
      <c r="F20" s="695">
        <v>0.54</v>
      </c>
      <c r="G20" s="695">
        <v>0</v>
      </c>
      <c r="H20" s="695">
        <v>2.66</v>
      </c>
      <c r="I20" s="695">
        <v>0.79</v>
      </c>
      <c r="J20" s="695">
        <v>0</v>
      </c>
      <c r="K20" s="695">
        <v>2.92</v>
      </c>
      <c r="L20" s="695">
        <v>0.94</v>
      </c>
      <c r="M20" s="695">
        <v>0</v>
      </c>
      <c r="N20" s="1018" t="s">
        <v>745</v>
      </c>
      <c r="O20" s="695">
        <v>1.33</v>
      </c>
      <c r="P20" s="695">
        <v>0.35</v>
      </c>
      <c r="Q20" s="570">
        <v>0.17</v>
      </c>
      <c r="R20" s="695">
        <v>1.42</v>
      </c>
      <c r="S20" s="695">
        <v>0.5</v>
      </c>
      <c r="T20" s="570">
        <v>0.17</v>
      </c>
      <c r="U20" s="695">
        <v>1.58</v>
      </c>
      <c r="V20" s="570">
        <v>0.54</v>
      </c>
      <c r="W20" s="570">
        <v>0.25</v>
      </c>
      <c r="X20" s="695">
        <v>1.66</v>
      </c>
      <c r="Y20" s="695">
        <v>0.7</v>
      </c>
      <c r="Z20" s="695">
        <v>0.31</v>
      </c>
      <c r="AA20" s="1018" t="s">
        <v>745</v>
      </c>
      <c r="AB20" s="695">
        <v>0.72</v>
      </c>
      <c r="AC20" s="695">
        <v>0.59</v>
      </c>
      <c r="AD20" s="695">
        <v>0.56999999999999995</v>
      </c>
      <c r="AE20" s="695">
        <v>0.53</v>
      </c>
      <c r="AF20" s="695">
        <v>0.74</v>
      </c>
      <c r="AG20" s="695">
        <v>0.37</v>
      </c>
      <c r="AH20" s="695">
        <v>0.82</v>
      </c>
      <c r="AI20" s="695">
        <v>0.76</v>
      </c>
      <c r="AJ20" s="695">
        <v>0.53</v>
      </c>
      <c r="AK20" s="695">
        <v>1.01</v>
      </c>
      <c r="AL20" s="695">
        <v>0.9</v>
      </c>
      <c r="AM20" s="695">
        <v>0.7</v>
      </c>
    </row>
    <row r="21" spans="1:39" s="324" customFormat="1" ht="11.1" customHeight="1">
      <c r="A21" s="1029" t="s">
        <v>738</v>
      </c>
      <c r="B21" s="545">
        <v>1.8</v>
      </c>
      <c r="C21" s="545">
        <v>0.44</v>
      </c>
      <c r="D21" s="545">
        <v>0</v>
      </c>
      <c r="E21" s="545">
        <v>2.0699999999999998</v>
      </c>
      <c r="F21" s="545">
        <v>0.56999999999999995</v>
      </c>
      <c r="G21" s="545">
        <v>0</v>
      </c>
      <c r="H21" s="545">
        <v>2.71</v>
      </c>
      <c r="I21" s="545">
        <v>0.84</v>
      </c>
      <c r="J21" s="545">
        <v>0</v>
      </c>
      <c r="K21" s="545">
        <v>2.92</v>
      </c>
      <c r="L21" s="545">
        <v>0.97</v>
      </c>
      <c r="M21" s="545">
        <v>0</v>
      </c>
      <c r="N21" s="1029" t="s">
        <v>738</v>
      </c>
      <c r="O21" s="545">
        <v>1.46</v>
      </c>
      <c r="P21" s="545">
        <v>0.39</v>
      </c>
      <c r="Q21" s="542">
        <v>0.17</v>
      </c>
      <c r="R21" s="545">
        <v>1.54</v>
      </c>
      <c r="S21" s="545">
        <v>0.94</v>
      </c>
      <c r="T21" s="542">
        <v>0.17</v>
      </c>
      <c r="U21" s="545">
        <v>1.67</v>
      </c>
      <c r="V21" s="542">
        <v>0.62</v>
      </c>
      <c r="W21" s="542">
        <v>0.24</v>
      </c>
      <c r="X21" s="545">
        <v>1.68</v>
      </c>
      <c r="Y21" s="545">
        <v>0.89</v>
      </c>
      <c r="Z21" s="545">
        <v>0.31</v>
      </c>
      <c r="AA21" s="1029" t="s">
        <v>738</v>
      </c>
      <c r="AB21" s="545">
        <v>0.9</v>
      </c>
      <c r="AC21" s="545">
        <v>0.63</v>
      </c>
      <c r="AD21" s="545">
        <v>0.5</v>
      </c>
      <c r="AE21" s="545">
        <v>0.79</v>
      </c>
      <c r="AF21" s="545">
        <v>0.65</v>
      </c>
      <c r="AG21" s="545">
        <v>0.35</v>
      </c>
      <c r="AH21" s="545">
        <v>1</v>
      </c>
      <c r="AI21" s="545">
        <v>0.73</v>
      </c>
      <c r="AJ21" s="545">
        <v>0.53</v>
      </c>
      <c r="AK21" s="545">
        <v>1.29</v>
      </c>
      <c r="AL21" s="545">
        <v>0.83</v>
      </c>
      <c r="AM21" s="545">
        <v>0.7</v>
      </c>
    </row>
    <row r="22" spans="1:39" s="324" customFormat="1" ht="11.1" customHeight="1">
      <c r="A22" s="1036" t="s">
        <v>746</v>
      </c>
      <c r="B22" s="295">
        <v>1.85</v>
      </c>
      <c r="C22" s="695">
        <v>0.44</v>
      </c>
      <c r="D22" s="695">
        <v>0</v>
      </c>
      <c r="E22" s="695">
        <v>2.08</v>
      </c>
      <c r="F22" s="695">
        <v>0.57999999999999996</v>
      </c>
      <c r="G22" s="695">
        <v>0</v>
      </c>
      <c r="H22" s="695">
        <v>2.68</v>
      </c>
      <c r="I22" s="695">
        <v>0.85</v>
      </c>
      <c r="J22" s="695">
        <v>0</v>
      </c>
      <c r="K22" s="695">
        <v>2.84</v>
      </c>
      <c r="L22" s="695">
        <v>0.99</v>
      </c>
      <c r="M22" s="695">
        <v>0</v>
      </c>
      <c r="N22" s="1036" t="s">
        <v>746</v>
      </c>
      <c r="O22" s="695">
        <v>1.38</v>
      </c>
      <c r="P22" s="695">
        <v>0.36</v>
      </c>
      <c r="Q22" s="570">
        <v>0.18</v>
      </c>
      <c r="R22" s="695">
        <v>1.62</v>
      </c>
      <c r="S22" s="695">
        <v>0.49</v>
      </c>
      <c r="T22" s="570">
        <v>0.17</v>
      </c>
      <c r="U22" s="695">
        <v>1.64</v>
      </c>
      <c r="V22" s="570">
        <v>0.62</v>
      </c>
      <c r="W22" s="570">
        <v>0.24</v>
      </c>
      <c r="X22" s="695">
        <v>1.73</v>
      </c>
      <c r="Y22" s="695">
        <v>0.73</v>
      </c>
      <c r="Z22" s="695">
        <v>0.31</v>
      </c>
      <c r="AA22" s="1036" t="s">
        <v>746</v>
      </c>
      <c r="AB22" s="695">
        <v>0.96</v>
      </c>
      <c r="AC22" s="695">
        <v>0.63</v>
      </c>
      <c r="AD22" s="695">
        <v>0.56999999999999995</v>
      </c>
      <c r="AE22" s="695">
        <v>0.75</v>
      </c>
      <c r="AF22" s="695">
        <v>0.65</v>
      </c>
      <c r="AG22" s="695">
        <v>0.37</v>
      </c>
      <c r="AH22" s="695">
        <v>1</v>
      </c>
      <c r="AI22" s="695">
        <v>0.73</v>
      </c>
      <c r="AJ22" s="695">
        <v>0.53</v>
      </c>
      <c r="AK22" s="695">
        <v>1.29</v>
      </c>
      <c r="AL22" s="695">
        <v>0.83</v>
      </c>
      <c r="AM22" s="695">
        <v>0.7</v>
      </c>
    </row>
    <row r="23" spans="1:39" s="324" customFormat="1" ht="11.1" customHeight="1">
      <c r="A23" s="1038" t="s">
        <v>747</v>
      </c>
      <c r="B23" s="362">
        <v>1.86</v>
      </c>
      <c r="C23" s="545">
        <v>0.44</v>
      </c>
      <c r="D23" s="545">
        <v>0</v>
      </c>
      <c r="E23" s="545">
        <v>2.0499999999999998</v>
      </c>
      <c r="F23" s="545">
        <v>0.56999999999999995</v>
      </c>
      <c r="G23" s="545">
        <v>0</v>
      </c>
      <c r="H23" s="545">
        <v>2.62</v>
      </c>
      <c r="I23" s="545">
        <v>0.84</v>
      </c>
      <c r="J23" s="545">
        <v>0</v>
      </c>
      <c r="K23" s="545">
        <v>2.78</v>
      </c>
      <c r="L23" s="545">
        <v>0.97</v>
      </c>
      <c r="M23" s="545">
        <v>0</v>
      </c>
      <c r="N23" s="1038" t="s">
        <v>747</v>
      </c>
      <c r="O23" s="545">
        <v>1.38</v>
      </c>
      <c r="P23" s="545">
        <v>0.37</v>
      </c>
      <c r="Q23" s="542">
        <v>0.17</v>
      </c>
      <c r="R23" s="545">
        <v>1.55</v>
      </c>
      <c r="S23" s="545">
        <v>0.47</v>
      </c>
      <c r="T23" s="542">
        <v>0.17</v>
      </c>
      <c r="U23" s="545">
        <v>1.6</v>
      </c>
      <c r="V23" s="545">
        <v>0.6</v>
      </c>
      <c r="W23" s="542">
        <v>0.24</v>
      </c>
      <c r="X23" s="545">
        <v>1.68</v>
      </c>
      <c r="Y23" s="545">
        <v>0.71</v>
      </c>
      <c r="Z23" s="545">
        <v>0.31</v>
      </c>
      <c r="AA23" s="1038" t="s">
        <v>747</v>
      </c>
      <c r="AB23" s="545">
        <v>0.93</v>
      </c>
      <c r="AC23" s="545">
        <v>0.59</v>
      </c>
      <c r="AD23" s="545">
        <v>0.56999999999999995</v>
      </c>
      <c r="AE23" s="545">
        <v>0.8</v>
      </c>
      <c r="AF23" s="545">
        <v>0.59</v>
      </c>
      <c r="AG23" s="545">
        <v>0.37</v>
      </c>
      <c r="AH23" s="545">
        <v>1.02</v>
      </c>
      <c r="AI23" s="545">
        <v>0.8</v>
      </c>
      <c r="AJ23" s="545">
        <v>0.53</v>
      </c>
      <c r="AK23" s="545">
        <v>1.28</v>
      </c>
      <c r="AL23" s="545">
        <v>0.84</v>
      </c>
      <c r="AM23" s="545">
        <v>0.7</v>
      </c>
    </row>
    <row r="24" spans="1:39" s="324" customFormat="1" ht="11.1" customHeight="1">
      <c r="A24" s="1040" t="s">
        <v>739</v>
      </c>
      <c r="B24" s="295">
        <v>1.84</v>
      </c>
      <c r="C24" s="695">
        <v>0.43</v>
      </c>
      <c r="D24" s="695">
        <v>0</v>
      </c>
      <c r="E24" s="695">
        <v>1.96</v>
      </c>
      <c r="F24" s="695">
        <v>0.53</v>
      </c>
      <c r="G24" s="695">
        <v>0</v>
      </c>
      <c r="H24" s="695">
        <v>2.5099999999999998</v>
      </c>
      <c r="I24" s="695">
        <v>0.8</v>
      </c>
      <c r="J24" s="695">
        <v>0</v>
      </c>
      <c r="K24" s="695">
        <v>2.69</v>
      </c>
      <c r="L24" s="695">
        <v>0.94</v>
      </c>
      <c r="M24" s="695">
        <v>0</v>
      </c>
      <c r="N24" s="1040" t="s">
        <v>739</v>
      </c>
      <c r="O24" s="695">
        <v>1.39</v>
      </c>
      <c r="P24" s="695">
        <v>0.33</v>
      </c>
      <c r="Q24" s="570">
        <v>0.05</v>
      </c>
      <c r="R24" s="695">
        <v>1.45</v>
      </c>
      <c r="S24" s="695">
        <v>0.42</v>
      </c>
      <c r="T24" s="570">
        <v>0.13</v>
      </c>
      <c r="U24" s="695">
        <v>1.5</v>
      </c>
      <c r="V24" s="695">
        <v>0.54</v>
      </c>
      <c r="W24" s="695">
        <v>0.2</v>
      </c>
      <c r="X24" s="695">
        <v>1.61</v>
      </c>
      <c r="Y24" s="695">
        <v>0.64</v>
      </c>
      <c r="Z24" s="695">
        <v>0.28999999999999998</v>
      </c>
      <c r="AA24" s="1040" t="s">
        <v>739</v>
      </c>
      <c r="AB24" s="695">
        <v>0.9</v>
      </c>
      <c r="AC24" s="695">
        <v>0.63</v>
      </c>
      <c r="AD24" s="695">
        <v>0.5</v>
      </c>
      <c r="AE24" s="695">
        <v>0.84</v>
      </c>
      <c r="AF24" s="695">
        <v>0.54</v>
      </c>
      <c r="AG24" s="695">
        <v>0.35</v>
      </c>
      <c r="AH24" s="695">
        <v>1.02</v>
      </c>
      <c r="AI24" s="695">
        <v>0.78</v>
      </c>
      <c r="AJ24" s="695">
        <v>0.53</v>
      </c>
      <c r="AK24" s="695">
        <v>1.34</v>
      </c>
      <c r="AL24" s="695">
        <v>0.84</v>
      </c>
      <c r="AM24" s="695">
        <v>0.7</v>
      </c>
    </row>
    <row r="25" spans="1:39" s="324" customFormat="1" ht="11.1" customHeight="1">
      <c r="A25" s="1049" t="s">
        <v>748</v>
      </c>
      <c r="B25" s="362">
        <v>1.84</v>
      </c>
      <c r="C25" s="545">
        <v>0.44</v>
      </c>
      <c r="D25" s="545">
        <v>0</v>
      </c>
      <c r="E25" s="545">
        <v>1.94</v>
      </c>
      <c r="F25" s="545">
        <v>0.52</v>
      </c>
      <c r="G25" s="545">
        <v>0</v>
      </c>
      <c r="H25" s="545">
        <v>2.4700000000000002</v>
      </c>
      <c r="I25" s="545">
        <v>0.76</v>
      </c>
      <c r="J25" s="545">
        <v>0</v>
      </c>
      <c r="K25" s="545">
        <v>2.57</v>
      </c>
      <c r="L25" s="545">
        <v>0.9</v>
      </c>
      <c r="M25" s="545">
        <v>0</v>
      </c>
      <c r="N25" s="1049" t="s">
        <v>748</v>
      </c>
      <c r="O25" s="545">
        <v>1.46</v>
      </c>
      <c r="P25" s="545">
        <v>0.37</v>
      </c>
      <c r="Q25" s="542">
        <v>0.17</v>
      </c>
      <c r="R25" s="545">
        <v>1.46</v>
      </c>
      <c r="S25" s="545">
        <v>0.45</v>
      </c>
      <c r="T25" s="542">
        <v>0.17</v>
      </c>
      <c r="U25" s="545">
        <v>1.57</v>
      </c>
      <c r="V25" s="545">
        <v>0.56999999999999995</v>
      </c>
      <c r="W25" s="545">
        <v>0.24</v>
      </c>
      <c r="X25" s="545">
        <v>1.7</v>
      </c>
      <c r="Y25" s="545">
        <v>0.7</v>
      </c>
      <c r="Z25" s="545">
        <v>0.31</v>
      </c>
      <c r="AA25" s="1049" t="s">
        <v>748</v>
      </c>
      <c r="AB25" s="545">
        <v>1.02</v>
      </c>
      <c r="AC25" s="545">
        <v>0.63</v>
      </c>
      <c r="AD25" s="545">
        <v>0.56999999999999995</v>
      </c>
      <c r="AE25" s="545">
        <v>0.76</v>
      </c>
      <c r="AF25" s="545">
        <v>0.54</v>
      </c>
      <c r="AG25" s="545">
        <v>0.37</v>
      </c>
      <c r="AH25" s="545">
        <v>1.1200000000000001</v>
      </c>
      <c r="AI25" s="545">
        <v>0.79</v>
      </c>
      <c r="AJ25" s="545">
        <v>0.53</v>
      </c>
      <c r="AK25" s="545">
        <v>1.34</v>
      </c>
      <c r="AL25" s="545">
        <v>0.84</v>
      </c>
      <c r="AM25" s="545">
        <v>0.7</v>
      </c>
    </row>
    <row r="26" spans="1:39" s="324" customFormat="1" ht="11.1" customHeight="1">
      <c r="A26" s="1051" t="s">
        <v>749</v>
      </c>
      <c r="B26" s="295">
        <v>1.82</v>
      </c>
      <c r="C26" s="695">
        <v>0.44</v>
      </c>
      <c r="D26" s="695">
        <v>0</v>
      </c>
      <c r="E26" s="695">
        <v>1.9</v>
      </c>
      <c r="F26" s="695">
        <v>0.5</v>
      </c>
      <c r="G26" s="695">
        <v>0</v>
      </c>
      <c r="H26" s="695">
        <v>2.4</v>
      </c>
      <c r="I26" s="695">
        <v>0.74</v>
      </c>
      <c r="J26" s="695">
        <v>0</v>
      </c>
      <c r="K26" s="695">
        <v>2.4900000000000002</v>
      </c>
      <c r="L26" s="695">
        <v>0.88</v>
      </c>
      <c r="M26" s="695">
        <v>0</v>
      </c>
      <c r="N26" s="1051" t="s">
        <v>749</v>
      </c>
      <c r="O26" s="695">
        <v>1.44</v>
      </c>
      <c r="P26" s="695">
        <v>0.38</v>
      </c>
      <c r="Q26" s="570">
        <v>0.18</v>
      </c>
      <c r="R26" s="695">
        <v>1.44</v>
      </c>
      <c r="S26" s="695">
        <v>0.55000000000000004</v>
      </c>
      <c r="T26" s="570">
        <v>0.17</v>
      </c>
      <c r="U26" s="695">
        <v>1.54</v>
      </c>
      <c r="V26" s="695">
        <v>0.56000000000000005</v>
      </c>
      <c r="W26" s="695">
        <v>0.24</v>
      </c>
      <c r="X26" s="695">
        <v>1.67</v>
      </c>
      <c r="Y26" s="695">
        <v>0.67</v>
      </c>
      <c r="Z26" s="695">
        <v>0.32</v>
      </c>
      <c r="AA26" s="1051" t="s">
        <v>749</v>
      </c>
      <c r="AB26" s="695">
        <v>1.1599999999999999</v>
      </c>
      <c r="AC26" s="695">
        <v>0.56000000000000005</v>
      </c>
      <c r="AD26" s="695">
        <v>0.56999999999999995</v>
      </c>
      <c r="AE26" s="695">
        <v>0.69</v>
      </c>
      <c r="AF26" s="695">
        <v>0.68</v>
      </c>
      <c r="AG26" s="695">
        <v>0.37</v>
      </c>
      <c r="AH26" s="695">
        <v>1.1399999999999999</v>
      </c>
      <c r="AI26" s="695">
        <v>0.79</v>
      </c>
      <c r="AJ26" s="695">
        <v>0.53</v>
      </c>
      <c r="AK26" s="695">
        <v>1.34</v>
      </c>
      <c r="AL26" s="695">
        <v>0.84</v>
      </c>
      <c r="AM26" s="695">
        <v>0.7</v>
      </c>
    </row>
    <row r="27" spans="1:39" s="324" customFormat="1" ht="11.1" customHeight="1">
      <c r="A27" s="1054" t="s">
        <v>740</v>
      </c>
      <c r="B27" s="362">
        <v>1.79</v>
      </c>
      <c r="C27" s="545">
        <v>0.43</v>
      </c>
      <c r="D27" s="545">
        <v>0</v>
      </c>
      <c r="E27" s="545">
        <v>1.83</v>
      </c>
      <c r="F27" s="545">
        <v>0.49</v>
      </c>
      <c r="G27" s="545">
        <v>0</v>
      </c>
      <c r="H27" s="545">
        <v>2.23</v>
      </c>
      <c r="I27" s="545">
        <v>0.7</v>
      </c>
      <c r="J27" s="545">
        <v>0</v>
      </c>
      <c r="K27" s="545">
        <v>2.25</v>
      </c>
      <c r="L27" s="545">
        <v>0.82</v>
      </c>
      <c r="M27" s="545">
        <v>0</v>
      </c>
      <c r="N27" s="1054" t="s">
        <v>740</v>
      </c>
      <c r="O27" s="545">
        <v>1.52</v>
      </c>
      <c r="P27" s="545">
        <v>0.44</v>
      </c>
      <c r="Q27" s="542">
        <v>0.18</v>
      </c>
      <c r="R27" s="545">
        <v>1.37</v>
      </c>
      <c r="S27" s="545">
        <v>0.56999999999999995</v>
      </c>
      <c r="T27" s="542">
        <v>0.18</v>
      </c>
      <c r="U27" s="545">
        <v>1.44</v>
      </c>
      <c r="V27" s="545">
        <v>0.57999999999999996</v>
      </c>
      <c r="W27" s="545">
        <v>0.25</v>
      </c>
      <c r="X27" s="545">
        <v>1.61</v>
      </c>
      <c r="Y27" s="545">
        <v>0.71</v>
      </c>
      <c r="Z27" s="545">
        <v>0.33</v>
      </c>
      <c r="AA27" s="1054" t="s">
        <v>740</v>
      </c>
      <c r="AB27" s="545">
        <v>1.07</v>
      </c>
      <c r="AC27" s="545">
        <v>0.62</v>
      </c>
      <c r="AD27" s="545">
        <v>0.5</v>
      </c>
      <c r="AE27" s="545">
        <v>1.47</v>
      </c>
      <c r="AF27" s="545">
        <v>0.66</v>
      </c>
      <c r="AG27" s="545">
        <v>0.35</v>
      </c>
      <c r="AH27" s="545">
        <v>1.22</v>
      </c>
      <c r="AI27" s="545">
        <v>0.82</v>
      </c>
      <c r="AJ27" s="545">
        <v>0.53</v>
      </c>
      <c r="AK27" s="545">
        <v>1.42</v>
      </c>
      <c r="AL27" s="545">
        <v>0.84</v>
      </c>
      <c r="AM27" s="545">
        <v>0.7</v>
      </c>
    </row>
    <row r="28" spans="1:39" s="324" customFormat="1" ht="11.1" customHeight="1">
      <c r="A28" s="707" t="s">
        <v>2017</v>
      </c>
      <c r="B28" s="687">
        <f>AVERAGE(B29:B40)</f>
        <v>1.2866666666666668</v>
      </c>
      <c r="C28" s="687">
        <f t="shared" ref="C28:M28" si="3">AVERAGE(C29:C40)</f>
        <v>0.34249999999999997</v>
      </c>
      <c r="D28" s="687">
        <f t="shared" si="3"/>
        <v>0</v>
      </c>
      <c r="E28" s="687">
        <f t="shared" si="3"/>
        <v>1.1883333333333332</v>
      </c>
      <c r="F28" s="687">
        <f t="shared" si="3"/>
        <v>0.41916666666666669</v>
      </c>
      <c r="G28" s="687">
        <f t="shared" si="3"/>
        <v>0</v>
      </c>
      <c r="H28" s="687">
        <f t="shared" si="3"/>
        <v>1.4416666666666667</v>
      </c>
      <c r="I28" s="687">
        <f t="shared" si="3"/>
        <v>0.5675</v>
      </c>
      <c r="J28" s="687">
        <f t="shared" si="3"/>
        <v>0</v>
      </c>
      <c r="K28" s="687">
        <f t="shared" si="3"/>
        <v>1.47</v>
      </c>
      <c r="L28" s="687">
        <f t="shared" si="3"/>
        <v>0.66416666666666668</v>
      </c>
      <c r="M28" s="687">
        <f t="shared" si="3"/>
        <v>0</v>
      </c>
      <c r="N28" s="707" t="s">
        <v>2017</v>
      </c>
      <c r="O28" s="687">
        <f t="shared" ref="O28:Z28" si="4">AVERAGE(O29:O40)</f>
        <v>1.0566666666666669</v>
      </c>
      <c r="P28" s="687">
        <f t="shared" si="4"/>
        <v>0.40333333333333338</v>
      </c>
      <c r="Q28" s="687">
        <f t="shared" si="4"/>
        <v>0.22333333333333336</v>
      </c>
      <c r="R28" s="687">
        <f t="shared" si="4"/>
        <v>1.1266666666666667</v>
      </c>
      <c r="S28" s="687">
        <f t="shared" si="4"/>
        <v>0.55666666666666675</v>
      </c>
      <c r="T28" s="687">
        <f t="shared" si="4"/>
        <v>0.19249999999999998</v>
      </c>
      <c r="U28" s="687">
        <f t="shared" si="4"/>
        <v>1.1741666666666668</v>
      </c>
      <c r="V28" s="687">
        <f t="shared" si="4"/>
        <v>0.53500000000000003</v>
      </c>
      <c r="W28" s="687">
        <f t="shared" si="4"/>
        <v>0.255</v>
      </c>
      <c r="X28" s="687">
        <f t="shared" si="4"/>
        <v>1.3241666666666667</v>
      </c>
      <c r="Y28" s="687">
        <f t="shared" si="4"/>
        <v>0.6991666666666666</v>
      </c>
      <c r="Z28" s="687">
        <f t="shared" si="4"/>
        <v>0.32</v>
      </c>
      <c r="AA28" s="707" t="s">
        <v>2017</v>
      </c>
      <c r="AB28" s="687">
        <f t="shared" ref="AB28:AM28" si="5">AVERAGE(AB29:AB40)</f>
        <v>0.82250000000000012</v>
      </c>
      <c r="AC28" s="687">
        <f t="shared" si="5"/>
        <v>0.4941666666666667</v>
      </c>
      <c r="AD28" s="687">
        <f t="shared" si="5"/>
        <v>0.52750000000000008</v>
      </c>
      <c r="AE28" s="687">
        <f t="shared" si="5"/>
        <v>0.93583333333333352</v>
      </c>
      <c r="AF28" s="687">
        <f t="shared" si="5"/>
        <v>0.6349999999999999</v>
      </c>
      <c r="AG28" s="687">
        <f t="shared" si="5"/>
        <v>0.37916666666666671</v>
      </c>
      <c r="AH28" s="687">
        <f t="shared" si="5"/>
        <v>0.9291666666666667</v>
      </c>
      <c r="AI28" s="687">
        <f t="shared" si="5"/>
        <v>0.80750000000000011</v>
      </c>
      <c r="AJ28" s="687">
        <f t="shared" si="5"/>
        <v>0.56666666666666676</v>
      </c>
      <c r="AK28" s="687">
        <f t="shared" si="5"/>
        <v>1.1291666666666667</v>
      </c>
      <c r="AL28" s="687">
        <f t="shared" si="5"/>
        <v>0.81083333333333341</v>
      </c>
      <c r="AM28" s="687">
        <f t="shared" si="5"/>
        <v>0.75</v>
      </c>
    </row>
    <row r="29" spans="1:39" s="324" customFormat="1" ht="11.1" customHeight="1">
      <c r="A29" s="736" t="s">
        <v>742</v>
      </c>
      <c r="B29" s="362">
        <v>1.74</v>
      </c>
      <c r="C29" s="545">
        <v>0.43</v>
      </c>
      <c r="D29" s="545">
        <v>0</v>
      </c>
      <c r="E29" s="545">
        <v>1.72</v>
      </c>
      <c r="F29" s="545">
        <v>0.47</v>
      </c>
      <c r="G29" s="545">
        <v>0</v>
      </c>
      <c r="H29" s="545">
        <v>2.0499999999999998</v>
      </c>
      <c r="I29" s="545">
        <v>0.65</v>
      </c>
      <c r="J29" s="545">
        <v>0</v>
      </c>
      <c r="K29" s="545">
        <v>2.04</v>
      </c>
      <c r="L29" s="545">
        <v>0.74</v>
      </c>
      <c r="M29" s="545">
        <v>0</v>
      </c>
      <c r="N29" s="736" t="s">
        <v>742</v>
      </c>
      <c r="O29" s="545">
        <v>1.46</v>
      </c>
      <c r="P29" s="545">
        <v>0.46</v>
      </c>
      <c r="Q29" s="545">
        <v>0.2</v>
      </c>
      <c r="R29" s="545">
        <v>1.35</v>
      </c>
      <c r="S29" s="545">
        <v>0.56000000000000005</v>
      </c>
      <c r="T29" s="542">
        <v>0.19</v>
      </c>
      <c r="U29" s="545">
        <v>1.41</v>
      </c>
      <c r="V29" s="545">
        <v>0.56000000000000005</v>
      </c>
      <c r="W29" s="545">
        <v>0.26</v>
      </c>
      <c r="X29" s="545">
        <v>1.58</v>
      </c>
      <c r="Y29" s="545">
        <v>0.66</v>
      </c>
      <c r="Z29" s="545">
        <v>0.32</v>
      </c>
      <c r="AA29" s="736" t="s">
        <v>742</v>
      </c>
      <c r="AB29" s="545">
        <v>1.1000000000000001</v>
      </c>
      <c r="AC29" s="545">
        <v>0.64</v>
      </c>
      <c r="AD29" s="545">
        <v>0.56999999999999995</v>
      </c>
      <c r="AE29" s="545">
        <v>0.85</v>
      </c>
      <c r="AF29" s="545">
        <v>0.61</v>
      </c>
      <c r="AG29" s="545">
        <v>0.37</v>
      </c>
      <c r="AH29" s="545">
        <v>1.22</v>
      </c>
      <c r="AI29" s="545">
        <v>0.82</v>
      </c>
      <c r="AJ29" s="545">
        <v>0.53</v>
      </c>
      <c r="AK29" s="545">
        <v>1.42</v>
      </c>
      <c r="AL29" s="545">
        <v>0.81</v>
      </c>
      <c r="AM29" s="545">
        <v>0.7</v>
      </c>
    </row>
    <row r="30" spans="1:39" s="324" customFormat="1" ht="11.1" customHeight="1">
      <c r="A30" s="669" t="s">
        <v>743</v>
      </c>
      <c r="B30" s="295">
        <v>1.63</v>
      </c>
      <c r="C30" s="695">
        <v>0.42</v>
      </c>
      <c r="D30" s="695">
        <v>0</v>
      </c>
      <c r="E30" s="695">
        <v>1.63</v>
      </c>
      <c r="F30" s="695">
        <v>0.47</v>
      </c>
      <c r="G30" s="695">
        <v>0</v>
      </c>
      <c r="H30" s="695">
        <v>1.93</v>
      </c>
      <c r="I30" s="695">
        <v>0.62</v>
      </c>
      <c r="J30" s="695">
        <v>0</v>
      </c>
      <c r="K30" s="695">
        <v>1.89</v>
      </c>
      <c r="L30" s="695">
        <v>0.67</v>
      </c>
      <c r="M30" s="695">
        <v>0</v>
      </c>
      <c r="N30" s="669" t="s">
        <v>743</v>
      </c>
      <c r="O30" s="695">
        <v>1.41</v>
      </c>
      <c r="P30" s="695">
        <v>0.45</v>
      </c>
      <c r="Q30" s="695">
        <v>0.21</v>
      </c>
      <c r="R30" s="695">
        <v>1.28</v>
      </c>
      <c r="S30" s="695">
        <v>0.56000000000000005</v>
      </c>
      <c r="T30" s="695">
        <v>0.2</v>
      </c>
      <c r="U30" s="695">
        <v>1.35</v>
      </c>
      <c r="V30" s="695">
        <v>0.55000000000000004</v>
      </c>
      <c r="W30" s="695">
        <v>0.26</v>
      </c>
      <c r="X30" s="695">
        <v>1.5</v>
      </c>
      <c r="Y30" s="695">
        <v>0.65</v>
      </c>
      <c r="Z30" s="695">
        <v>0.33</v>
      </c>
      <c r="AA30" s="669" t="s">
        <v>743</v>
      </c>
      <c r="AB30" s="695">
        <v>1.1000000000000001</v>
      </c>
      <c r="AC30" s="695">
        <v>0.53</v>
      </c>
      <c r="AD30" s="695">
        <v>0.56999999999999995</v>
      </c>
      <c r="AE30" s="695">
        <v>0.84</v>
      </c>
      <c r="AF30" s="695">
        <v>0.68</v>
      </c>
      <c r="AG30" s="695">
        <v>0.37</v>
      </c>
      <c r="AH30" s="695">
        <v>1.21</v>
      </c>
      <c r="AI30" s="695">
        <v>0.83</v>
      </c>
      <c r="AJ30" s="695">
        <v>0.53</v>
      </c>
      <c r="AK30" s="695">
        <v>1.41</v>
      </c>
      <c r="AL30" s="695">
        <v>0.8</v>
      </c>
      <c r="AM30" s="695">
        <v>0.7</v>
      </c>
    </row>
    <row r="31" spans="1:39" s="324" customFormat="1" ht="11.1" customHeight="1">
      <c r="A31" s="736" t="s">
        <v>737</v>
      </c>
      <c r="B31" s="362">
        <v>1.52</v>
      </c>
      <c r="C31" s="545">
        <v>0.42</v>
      </c>
      <c r="D31" s="545">
        <v>0</v>
      </c>
      <c r="E31" s="545">
        <v>1.57</v>
      </c>
      <c r="F31" s="545">
        <v>0.47</v>
      </c>
      <c r="G31" s="545">
        <v>0</v>
      </c>
      <c r="H31" s="545">
        <v>1.87</v>
      </c>
      <c r="I31" s="545">
        <v>0.63</v>
      </c>
      <c r="J31" s="545">
        <v>0</v>
      </c>
      <c r="K31" s="545">
        <v>1.83</v>
      </c>
      <c r="L31" s="545">
        <v>0.71</v>
      </c>
      <c r="M31" s="545">
        <v>0</v>
      </c>
      <c r="N31" s="736" t="s">
        <v>737</v>
      </c>
      <c r="O31" s="545">
        <v>1.38</v>
      </c>
      <c r="P31" s="545">
        <v>0.46</v>
      </c>
      <c r="Q31" s="545">
        <v>0.22</v>
      </c>
      <c r="R31" s="545">
        <v>1.27</v>
      </c>
      <c r="S31" s="545">
        <v>0.56999999999999995</v>
      </c>
      <c r="T31" s="545">
        <v>0.19</v>
      </c>
      <c r="U31" s="545">
        <v>1.35</v>
      </c>
      <c r="V31" s="545">
        <v>0.56000000000000005</v>
      </c>
      <c r="W31" s="545">
        <v>0.26</v>
      </c>
      <c r="X31" s="545">
        <v>1.52</v>
      </c>
      <c r="Y31" s="545">
        <v>0.68</v>
      </c>
      <c r="Z31" s="545">
        <v>0.32</v>
      </c>
      <c r="AA31" s="736" t="s">
        <v>737</v>
      </c>
      <c r="AB31" s="545">
        <v>1.02</v>
      </c>
      <c r="AC31" s="545">
        <v>0.63</v>
      </c>
      <c r="AD31" s="545">
        <v>0.5</v>
      </c>
      <c r="AE31" s="545">
        <v>0.87</v>
      </c>
      <c r="AF31" s="545">
        <v>0.68</v>
      </c>
      <c r="AG31" s="545">
        <v>0.35</v>
      </c>
      <c r="AH31" s="545">
        <v>1.19</v>
      </c>
      <c r="AI31" s="545">
        <v>0.81</v>
      </c>
      <c r="AJ31" s="545">
        <v>0.53</v>
      </c>
      <c r="AK31" s="545">
        <v>1.33</v>
      </c>
      <c r="AL31" s="545">
        <v>0.8</v>
      </c>
      <c r="AM31" s="545">
        <v>0.7</v>
      </c>
    </row>
    <row r="32" spans="1:39" s="324" customFormat="1" ht="11.1" customHeight="1">
      <c r="A32" s="669" t="s">
        <v>744</v>
      </c>
      <c r="B32" s="295">
        <v>1.45</v>
      </c>
      <c r="C32" s="695">
        <v>0.42</v>
      </c>
      <c r="D32" s="695">
        <v>0</v>
      </c>
      <c r="E32" s="695">
        <v>1.53</v>
      </c>
      <c r="F32" s="695">
        <v>0.47</v>
      </c>
      <c r="G32" s="695">
        <v>0</v>
      </c>
      <c r="H32" s="695">
        <v>1.85</v>
      </c>
      <c r="I32" s="695">
        <v>0.65</v>
      </c>
      <c r="J32" s="695">
        <v>0</v>
      </c>
      <c r="K32" s="695">
        <v>1.83</v>
      </c>
      <c r="L32" s="695">
        <v>0.74</v>
      </c>
      <c r="M32" s="695">
        <v>0</v>
      </c>
      <c r="N32" s="669" t="s">
        <v>744</v>
      </c>
      <c r="O32" s="695">
        <v>1.28</v>
      </c>
      <c r="P32" s="695">
        <v>0.46</v>
      </c>
      <c r="Q32" s="695">
        <v>0.22</v>
      </c>
      <c r="R32" s="695">
        <v>1.21</v>
      </c>
      <c r="S32" s="695">
        <v>0.57999999999999996</v>
      </c>
      <c r="T32" s="695">
        <v>0.19</v>
      </c>
      <c r="U32" s="695">
        <v>1.31</v>
      </c>
      <c r="V32" s="695">
        <v>0.57999999999999996</v>
      </c>
      <c r="W32" s="695">
        <v>0.26</v>
      </c>
      <c r="X32" s="695">
        <v>1.5</v>
      </c>
      <c r="Y32" s="695">
        <v>0.71</v>
      </c>
      <c r="Z32" s="695">
        <v>0.32</v>
      </c>
      <c r="AA32" s="669" t="s">
        <v>744</v>
      </c>
      <c r="AB32" s="695">
        <v>0.84</v>
      </c>
      <c r="AC32" s="695">
        <v>0.64</v>
      </c>
      <c r="AD32" s="695">
        <v>0.56999999999999995</v>
      </c>
      <c r="AE32" s="695">
        <v>0.76</v>
      </c>
      <c r="AF32" s="695">
        <v>0.67</v>
      </c>
      <c r="AG32" s="695">
        <v>0.37</v>
      </c>
      <c r="AH32" s="695">
        <v>1.03</v>
      </c>
      <c r="AI32" s="695">
        <v>0.82</v>
      </c>
      <c r="AJ32" s="695">
        <v>0.53</v>
      </c>
      <c r="AK32" s="695">
        <v>1.27</v>
      </c>
      <c r="AL32" s="695">
        <v>0.8</v>
      </c>
      <c r="AM32" s="695">
        <v>0.7</v>
      </c>
    </row>
    <row r="33" spans="1:39" s="324" customFormat="1" ht="11.1" customHeight="1">
      <c r="A33" s="736" t="s">
        <v>745</v>
      </c>
      <c r="B33" s="362">
        <v>1.28</v>
      </c>
      <c r="C33" s="545">
        <v>0.42</v>
      </c>
      <c r="D33" s="545">
        <v>0</v>
      </c>
      <c r="E33" s="545">
        <v>1.39</v>
      </c>
      <c r="F33" s="545">
        <v>0.49</v>
      </c>
      <c r="G33" s="545">
        <v>0</v>
      </c>
      <c r="H33" s="545">
        <v>1.74</v>
      </c>
      <c r="I33" s="545">
        <v>0.68</v>
      </c>
      <c r="J33" s="545">
        <v>0</v>
      </c>
      <c r="K33" s="545">
        <v>1.78</v>
      </c>
      <c r="L33" s="545">
        <v>0.77</v>
      </c>
      <c r="M33" s="545">
        <v>0</v>
      </c>
      <c r="N33" s="736" t="s">
        <v>745</v>
      </c>
      <c r="O33" s="545">
        <v>1.24</v>
      </c>
      <c r="P33" s="545">
        <v>0.46</v>
      </c>
      <c r="Q33" s="545">
        <v>0.22</v>
      </c>
      <c r="R33" s="545">
        <v>1.2</v>
      </c>
      <c r="S33" s="545">
        <v>0.57999999999999996</v>
      </c>
      <c r="T33" s="545">
        <v>0.2</v>
      </c>
      <c r="U33" s="545">
        <v>1.3</v>
      </c>
      <c r="V33" s="545">
        <v>0.57999999999999996</v>
      </c>
      <c r="W33" s="545">
        <v>0.26</v>
      </c>
      <c r="X33" s="545">
        <v>1.49</v>
      </c>
      <c r="Y33" s="545">
        <v>0.7</v>
      </c>
      <c r="Z33" s="545">
        <v>0.32</v>
      </c>
      <c r="AA33" s="736" t="s">
        <v>745</v>
      </c>
      <c r="AB33" s="545">
        <v>0.91</v>
      </c>
      <c r="AC33" s="545">
        <v>0.47</v>
      </c>
      <c r="AD33" s="545">
        <v>0.56999999999999995</v>
      </c>
      <c r="AE33" s="545">
        <v>0.74</v>
      </c>
      <c r="AF33" s="545">
        <v>0.69</v>
      </c>
      <c r="AG33" s="545">
        <v>0.37</v>
      </c>
      <c r="AH33" s="545">
        <v>1.03</v>
      </c>
      <c r="AI33" s="545">
        <v>0.76</v>
      </c>
      <c r="AJ33" s="545">
        <v>0.53</v>
      </c>
      <c r="AK33" s="545">
        <v>1.25</v>
      </c>
      <c r="AL33" s="545">
        <v>0.8</v>
      </c>
      <c r="AM33" s="545">
        <v>0.7</v>
      </c>
    </row>
    <row r="34" spans="1:39" s="324" customFormat="1" ht="11.1" customHeight="1">
      <c r="A34" s="669" t="s">
        <v>738</v>
      </c>
      <c r="B34" s="295">
        <v>1.24</v>
      </c>
      <c r="C34" s="695">
        <v>0.42</v>
      </c>
      <c r="D34" s="695">
        <v>0</v>
      </c>
      <c r="E34" s="695">
        <v>1.38</v>
      </c>
      <c r="F34" s="695">
        <v>0.49</v>
      </c>
      <c r="G34" s="695">
        <v>0</v>
      </c>
      <c r="H34" s="695">
        <v>1.72</v>
      </c>
      <c r="I34" s="695">
        <v>0.68</v>
      </c>
      <c r="J34" s="695">
        <v>0</v>
      </c>
      <c r="K34" s="695">
        <v>1.77</v>
      </c>
      <c r="L34" s="695">
        <v>0.78</v>
      </c>
      <c r="M34" s="695">
        <v>0</v>
      </c>
      <c r="N34" s="669" t="s">
        <v>738</v>
      </c>
      <c r="O34" s="695">
        <v>1.1599999999999999</v>
      </c>
      <c r="P34" s="695">
        <v>0.46</v>
      </c>
      <c r="Q34" s="695">
        <v>0.22</v>
      </c>
      <c r="R34" s="695">
        <v>1.27</v>
      </c>
      <c r="S34" s="695">
        <v>0.57999999999999996</v>
      </c>
      <c r="T34" s="695">
        <v>0.19</v>
      </c>
      <c r="U34" s="695">
        <v>1.28</v>
      </c>
      <c r="V34" s="695">
        <v>0.57999999999999996</v>
      </c>
      <c r="W34" s="695">
        <v>0.25</v>
      </c>
      <c r="X34" s="695">
        <v>1.48</v>
      </c>
      <c r="Y34" s="695">
        <v>0.71</v>
      </c>
      <c r="Z34" s="695">
        <v>0.31</v>
      </c>
      <c r="AA34" s="669" t="s">
        <v>738</v>
      </c>
      <c r="AB34" s="695">
        <v>0.81</v>
      </c>
      <c r="AC34" s="695">
        <v>0.62</v>
      </c>
      <c r="AD34" s="695">
        <v>0.5</v>
      </c>
      <c r="AE34" s="695">
        <v>1.07</v>
      </c>
      <c r="AF34" s="695">
        <v>0.68</v>
      </c>
      <c r="AG34" s="695">
        <v>0.35</v>
      </c>
      <c r="AH34" s="695">
        <v>0.8</v>
      </c>
      <c r="AI34" s="695">
        <v>0.73</v>
      </c>
      <c r="AJ34" s="695">
        <v>0.53</v>
      </c>
      <c r="AK34" s="695">
        <v>1.05</v>
      </c>
      <c r="AL34" s="695">
        <v>0.8</v>
      </c>
      <c r="AM34" s="695">
        <v>0.7</v>
      </c>
    </row>
    <row r="35" spans="1:39" s="324" customFormat="1" ht="11.1" customHeight="1">
      <c r="A35" s="736" t="s">
        <v>746</v>
      </c>
      <c r="B35" s="362">
        <v>1.17</v>
      </c>
      <c r="C35" s="545">
        <v>0.34</v>
      </c>
      <c r="D35" s="545">
        <v>0</v>
      </c>
      <c r="E35" s="545">
        <v>1.29</v>
      </c>
      <c r="F35" s="545">
        <v>0.4</v>
      </c>
      <c r="G35" s="545">
        <v>0</v>
      </c>
      <c r="H35" s="545">
        <v>1.61</v>
      </c>
      <c r="I35" s="545">
        <v>0.56999999999999995</v>
      </c>
      <c r="J35" s="545">
        <v>0</v>
      </c>
      <c r="K35" s="545">
        <v>1.69</v>
      </c>
      <c r="L35" s="545">
        <v>0.65</v>
      </c>
      <c r="M35" s="545">
        <v>0</v>
      </c>
      <c r="N35" s="736" t="s">
        <v>746</v>
      </c>
      <c r="O35" s="545">
        <v>1.1100000000000001</v>
      </c>
      <c r="P35" s="545">
        <v>0.43</v>
      </c>
      <c r="Q35" s="545">
        <v>0.22</v>
      </c>
      <c r="R35" s="545">
        <v>1.21</v>
      </c>
      <c r="S35" s="545">
        <v>0.54</v>
      </c>
      <c r="T35" s="545">
        <v>0.19</v>
      </c>
      <c r="U35" s="545">
        <v>1.23</v>
      </c>
      <c r="V35" s="545">
        <v>0.53</v>
      </c>
      <c r="W35" s="545">
        <v>0.25</v>
      </c>
      <c r="X35" s="545">
        <v>1.44</v>
      </c>
      <c r="Y35" s="545">
        <v>0.64</v>
      </c>
      <c r="Z35" s="545">
        <v>0.32</v>
      </c>
      <c r="AA35" s="736" t="s">
        <v>746</v>
      </c>
      <c r="AB35" s="545">
        <v>0.85</v>
      </c>
      <c r="AC35" s="545">
        <v>0.64</v>
      </c>
      <c r="AD35" s="545">
        <v>0.56999999999999995</v>
      </c>
      <c r="AE35" s="545">
        <v>1.01</v>
      </c>
      <c r="AF35" s="545">
        <v>0.64</v>
      </c>
      <c r="AG35" s="545">
        <v>0.37</v>
      </c>
      <c r="AH35" s="545">
        <v>0.78</v>
      </c>
      <c r="AI35" s="545">
        <v>0.73</v>
      </c>
      <c r="AJ35" s="545">
        <v>0.53</v>
      </c>
      <c r="AK35" s="545">
        <v>1.05</v>
      </c>
      <c r="AL35" s="545">
        <v>0.8</v>
      </c>
      <c r="AM35" s="545">
        <v>0.7</v>
      </c>
    </row>
    <row r="36" spans="1:39" s="324" customFormat="1" ht="11.1" customHeight="1">
      <c r="A36" s="669" t="s">
        <v>747</v>
      </c>
      <c r="B36" s="295">
        <v>1.4</v>
      </c>
      <c r="C36" s="695">
        <v>0.43</v>
      </c>
      <c r="D36" s="695">
        <v>0</v>
      </c>
      <c r="E36" s="695">
        <v>1.48</v>
      </c>
      <c r="F36" s="695">
        <v>0.49</v>
      </c>
      <c r="G36" s="695">
        <v>0</v>
      </c>
      <c r="H36" s="695">
        <v>1.37</v>
      </c>
      <c r="I36" s="695">
        <v>0.54</v>
      </c>
      <c r="J36" s="695">
        <v>0</v>
      </c>
      <c r="K36" s="695">
        <v>1.56</v>
      </c>
      <c r="L36" s="695">
        <v>0.61</v>
      </c>
      <c r="M36" s="695">
        <v>0</v>
      </c>
      <c r="N36" s="669" t="s">
        <v>747</v>
      </c>
      <c r="O36" s="695">
        <v>1.27</v>
      </c>
      <c r="P36" s="695">
        <v>0.55000000000000004</v>
      </c>
      <c r="Q36" s="695">
        <v>0.39</v>
      </c>
      <c r="R36" s="695">
        <v>1.43</v>
      </c>
      <c r="S36" s="695">
        <v>0.65</v>
      </c>
      <c r="T36" s="695">
        <v>0.27</v>
      </c>
      <c r="U36" s="695">
        <v>1.27</v>
      </c>
      <c r="V36" s="695">
        <v>0.6</v>
      </c>
      <c r="W36" s="695">
        <v>0.33</v>
      </c>
      <c r="X36" s="695">
        <v>1.44</v>
      </c>
      <c r="Y36" s="695">
        <v>1.1599999999999999</v>
      </c>
      <c r="Z36" s="695">
        <v>0.41</v>
      </c>
      <c r="AA36" s="669" t="s">
        <v>747</v>
      </c>
      <c r="AB36" s="695">
        <v>1</v>
      </c>
      <c r="AC36" s="695">
        <v>0.52</v>
      </c>
      <c r="AD36" s="695">
        <v>0.56999999999999995</v>
      </c>
      <c r="AE36" s="695">
        <v>1.19</v>
      </c>
      <c r="AF36" s="695">
        <v>0.6</v>
      </c>
      <c r="AG36" s="695">
        <v>0.45</v>
      </c>
      <c r="AH36" s="695">
        <v>0.9</v>
      </c>
      <c r="AI36" s="695">
        <v>0.9</v>
      </c>
      <c r="AJ36" s="695">
        <v>0.75</v>
      </c>
      <c r="AK36" s="695">
        <v>1.1200000000000001</v>
      </c>
      <c r="AL36" s="695">
        <v>0.84</v>
      </c>
      <c r="AM36" s="695">
        <v>1</v>
      </c>
    </row>
    <row r="37" spans="1:39" s="324" customFormat="1" ht="11.1" customHeight="1">
      <c r="A37" s="736" t="s">
        <v>739</v>
      </c>
      <c r="B37" s="362">
        <v>0.88</v>
      </c>
      <c r="C37" s="545">
        <v>0.3</v>
      </c>
      <c r="D37" s="545">
        <v>0</v>
      </c>
      <c r="E37" s="545">
        <v>0.9</v>
      </c>
      <c r="F37" s="545">
        <v>0.36</v>
      </c>
      <c r="G37" s="545">
        <v>0</v>
      </c>
      <c r="H37" s="545">
        <v>1.18</v>
      </c>
      <c r="I37" s="545">
        <v>0.54</v>
      </c>
      <c r="J37" s="545">
        <v>0</v>
      </c>
      <c r="K37" s="545">
        <v>1.2</v>
      </c>
      <c r="L37" s="545">
        <v>0.62</v>
      </c>
      <c r="M37" s="545">
        <v>0</v>
      </c>
      <c r="N37" s="736" t="s">
        <v>739</v>
      </c>
      <c r="O37" s="545">
        <v>0.8</v>
      </c>
      <c r="P37" s="545">
        <v>0.34</v>
      </c>
      <c r="Q37" s="545">
        <v>0.18</v>
      </c>
      <c r="R37" s="545">
        <v>1.06</v>
      </c>
      <c r="S37" s="545">
        <v>0.57999999999999996</v>
      </c>
      <c r="T37" s="545">
        <v>0.15</v>
      </c>
      <c r="U37" s="545">
        <v>1.1499999999999999</v>
      </c>
      <c r="V37" s="545">
        <v>0.53</v>
      </c>
      <c r="W37" s="545">
        <v>0.22</v>
      </c>
      <c r="X37" s="545">
        <v>1.1499999999999999</v>
      </c>
      <c r="Y37" s="545">
        <v>0.69</v>
      </c>
      <c r="Z37" s="545">
        <v>0.3</v>
      </c>
      <c r="AA37" s="736" t="s">
        <v>739</v>
      </c>
      <c r="AB37" s="545">
        <v>0.55000000000000004</v>
      </c>
      <c r="AC37" s="545">
        <v>0.32</v>
      </c>
      <c r="AD37" s="545">
        <v>0.33</v>
      </c>
      <c r="AE37" s="545">
        <v>1.05</v>
      </c>
      <c r="AF37" s="545">
        <v>0.56999999999999995</v>
      </c>
      <c r="AG37" s="545">
        <v>0.35</v>
      </c>
      <c r="AH37" s="545">
        <v>0.77</v>
      </c>
      <c r="AI37" s="545">
        <v>0.78</v>
      </c>
      <c r="AJ37" s="545">
        <v>0.53</v>
      </c>
      <c r="AK37" s="545">
        <v>0.92</v>
      </c>
      <c r="AL37" s="545">
        <v>0.81</v>
      </c>
      <c r="AM37" s="545">
        <v>0.7</v>
      </c>
    </row>
    <row r="38" spans="1:39" s="324" customFormat="1" ht="11.1" customHeight="1">
      <c r="A38" s="669" t="s">
        <v>748</v>
      </c>
      <c r="B38" s="295">
        <v>2.72</v>
      </c>
      <c r="C38" s="695">
        <v>0.13</v>
      </c>
      <c r="D38" s="695">
        <v>0</v>
      </c>
      <c r="E38" s="695">
        <v>0.81</v>
      </c>
      <c r="F38" s="695">
        <v>0.32</v>
      </c>
      <c r="G38" s="695">
        <v>0</v>
      </c>
      <c r="H38" s="695">
        <v>0.94</v>
      </c>
      <c r="I38" s="695">
        <v>0.53</v>
      </c>
      <c r="J38" s="695">
        <v>0</v>
      </c>
      <c r="K38" s="695">
        <v>0.83</v>
      </c>
      <c r="L38" s="695">
        <v>0.64</v>
      </c>
      <c r="M38" s="695">
        <v>0</v>
      </c>
      <c r="N38" s="669" t="s">
        <v>748</v>
      </c>
      <c r="O38" s="695">
        <v>0.56000000000000005</v>
      </c>
      <c r="P38" s="695">
        <v>0.3</v>
      </c>
      <c r="Q38" s="695">
        <v>0.18</v>
      </c>
      <c r="R38" s="695">
        <v>0.79</v>
      </c>
      <c r="S38" s="695">
        <v>0.56000000000000005</v>
      </c>
      <c r="T38" s="695">
        <v>0.17</v>
      </c>
      <c r="U38" s="695">
        <v>0.92</v>
      </c>
      <c r="V38" s="695">
        <v>0.47</v>
      </c>
      <c r="W38" s="695">
        <v>0.23</v>
      </c>
      <c r="X38" s="695">
        <v>0.92</v>
      </c>
      <c r="Y38" s="695">
        <v>0.6</v>
      </c>
      <c r="Z38" s="695">
        <v>0.28999999999999998</v>
      </c>
      <c r="AA38" s="669" t="s">
        <v>748</v>
      </c>
      <c r="AB38" s="695">
        <v>0.7</v>
      </c>
      <c r="AC38" s="695">
        <v>0.32</v>
      </c>
      <c r="AD38" s="695">
        <v>0.56999999999999995</v>
      </c>
      <c r="AE38" s="695">
        <v>0.98</v>
      </c>
      <c r="AF38" s="695">
        <v>0.56000000000000005</v>
      </c>
      <c r="AG38" s="695">
        <v>0.35</v>
      </c>
      <c r="AH38" s="695">
        <v>0.72</v>
      </c>
      <c r="AI38" s="695">
        <v>0.79</v>
      </c>
      <c r="AJ38" s="695">
        <v>0.53</v>
      </c>
      <c r="AK38" s="695">
        <v>0.92</v>
      </c>
      <c r="AL38" s="695">
        <v>0.81</v>
      </c>
      <c r="AM38" s="695">
        <v>0.7</v>
      </c>
    </row>
    <row r="39" spans="1:39" s="324" customFormat="1" ht="11.1" customHeight="1">
      <c r="A39" s="736" t="s">
        <v>749</v>
      </c>
      <c r="B39" s="362">
        <v>0.21</v>
      </c>
      <c r="C39" s="545">
        <v>0.24</v>
      </c>
      <c r="D39" s="545">
        <v>0</v>
      </c>
      <c r="E39" s="545">
        <v>0.42</v>
      </c>
      <c r="F39" s="545">
        <v>0.26</v>
      </c>
      <c r="G39" s="545">
        <v>0</v>
      </c>
      <c r="H39" s="545">
        <v>0.68</v>
      </c>
      <c r="I39" s="545">
        <v>0.47</v>
      </c>
      <c r="J39" s="545">
        <v>0</v>
      </c>
      <c r="K39" s="545">
        <v>0.71</v>
      </c>
      <c r="L39" s="545">
        <v>0.62</v>
      </c>
      <c r="M39" s="545">
        <v>0</v>
      </c>
      <c r="N39" s="736" t="s">
        <v>749</v>
      </c>
      <c r="O39" s="545">
        <v>0.56000000000000005</v>
      </c>
      <c r="P39" s="545">
        <v>0.23</v>
      </c>
      <c r="Q39" s="545">
        <v>0.21</v>
      </c>
      <c r="R39" s="545">
        <v>0.77</v>
      </c>
      <c r="S39" s="545">
        <v>0.48</v>
      </c>
      <c r="T39" s="545">
        <v>0.18</v>
      </c>
      <c r="U39" s="545">
        <v>0.8</v>
      </c>
      <c r="V39" s="545">
        <v>0.46</v>
      </c>
      <c r="W39" s="545">
        <v>0.23</v>
      </c>
      <c r="X39" s="545">
        <v>0.96</v>
      </c>
      <c r="Y39" s="545">
        <v>0.61</v>
      </c>
      <c r="Z39" s="545">
        <v>0.28999999999999998</v>
      </c>
      <c r="AA39" s="736" t="s">
        <v>749</v>
      </c>
      <c r="AB39" s="545">
        <v>0.56000000000000005</v>
      </c>
      <c r="AC39" s="545">
        <v>0.32</v>
      </c>
      <c r="AD39" s="545">
        <v>0.56999999999999995</v>
      </c>
      <c r="AE39" s="545">
        <v>0.9</v>
      </c>
      <c r="AF39" s="545">
        <v>0.61</v>
      </c>
      <c r="AG39" s="545">
        <v>0.35</v>
      </c>
      <c r="AH39" s="545">
        <v>0.72</v>
      </c>
      <c r="AI39" s="545">
        <v>0.8</v>
      </c>
      <c r="AJ39" s="545">
        <v>0.53</v>
      </c>
      <c r="AK39" s="545">
        <v>0.88</v>
      </c>
      <c r="AL39" s="545">
        <v>0.81</v>
      </c>
      <c r="AM39" s="545">
        <v>0.7</v>
      </c>
    </row>
    <row r="40" spans="1:39" s="324" customFormat="1" ht="11.1" customHeight="1">
      <c r="A40" s="669" t="s">
        <v>740</v>
      </c>
      <c r="B40" s="295">
        <v>0.2</v>
      </c>
      <c r="C40" s="695">
        <v>0.14000000000000001</v>
      </c>
      <c r="D40" s="695">
        <v>0</v>
      </c>
      <c r="E40" s="695">
        <v>0.14000000000000001</v>
      </c>
      <c r="F40" s="695">
        <v>0.34</v>
      </c>
      <c r="G40" s="695">
        <v>0</v>
      </c>
      <c r="H40" s="695">
        <v>0.36</v>
      </c>
      <c r="I40" s="695">
        <v>0.25</v>
      </c>
      <c r="J40" s="695">
        <v>0</v>
      </c>
      <c r="K40" s="695">
        <v>0.51</v>
      </c>
      <c r="L40" s="695">
        <v>0.42</v>
      </c>
      <c r="M40" s="695">
        <v>0</v>
      </c>
      <c r="N40" s="669" t="s">
        <v>740</v>
      </c>
      <c r="O40" s="695">
        <v>0.45</v>
      </c>
      <c r="P40" s="695">
        <v>0.24</v>
      </c>
      <c r="Q40" s="695">
        <v>0.21</v>
      </c>
      <c r="R40" s="695">
        <v>0.68</v>
      </c>
      <c r="S40" s="695">
        <v>0.44</v>
      </c>
      <c r="T40" s="695">
        <v>0.19</v>
      </c>
      <c r="U40" s="695">
        <v>0.72</v>
      </c>
      <c r="V40" s="695">
        <v>0.42</v>
      </c>
      <c r="W40" s="695">
        <v>0.25</v>
      </c>
      <c r="X40" s="695">
        <v>0.91</v>
      </c>
      <c r="Y40" s="695">
        <v>0.57999999999999996</v>
      </c>
      <c r="Z40" s="695">
        <v>0.31</v>
      </c>
      <c r="AA40" s="669" t="s">
        <v>740</v>
      </c>
      <c r="AB40" s="695">
        <v>0.43</v>
      </c>
      <c r="AC40" s="695">
        <v>0.28000000000000003</v>
      </c>
      <c r="AD40" s="695">
        <v>0.44</v>
      </c>
      <c r="AE40" s="695">
        <v>0.97</v>
      </c>
      <c r="AF40" s="695">
        <v>0.63</v>
      </c>
      <c r="AG40" s="695">
        <v>0.5</v>
      </c>
      <c r="AH40" s="695">
        <v>0.78</v>
      </c>
      <c r="AI40" s="695">
        <v>0.92</v>
      </c>
      <c r="AJ40" s="695">
        <v>0.75</v>
      </c>
      <c r="AK40" s="695">
        <v>0.93</v>
      </c>
      <c r="AL40" s="695">
        <v>0.85</v>
      </c>
      <c r="AM40" s="695">
        <v>1</v>
      </c>
    </row>
    <row r="41" spans="1:39" s="324" customFormat="1" ht="11.1" customHeight="1">
      <c r="A41" s="806" t="s">
        <v>2114</v>
      </c>
      <c r="B41" s="807">
        <f>AVERAGE(B42:B53)</f>
        <v>0.13500000000000004</v>
      </c>
      <c r="C41" s="807">
        <f t="shared" ref="C41:M41" si="6">AVERAGE(C42:C53)</f>
        <v>5.2500000000000012E-2</v>
      </c>
      <c r="D41" s="807">
        <f t="shared" si="6"/>
        <v>0</v>
      </c>
      <c r="E41" s="807">
        <f t="shared" si="6"/>
        <v>0.18333333333333332</v>
      </c>
      <c r="F41" s="807">
        <f t="shared" si="6"/>
        <v>7.4166666666666672E-2</v>
      </c>
      <c r="G41" s="807">
        <f t="shared" si="6"/>
        <v>0</v>
      </c>
      <c r="H41" s="807">
        <f t="shared" si="6"/>
        <v>0.18833333333333332</v>
      </c>
      <c r="I41" s="807">
        <f t="shared" si="6"/>
        <v>0.10000000000000002</v>
      </c>
      <c r="J41" s="807">
        <f t="shared" si="6"/>
        <v>0</v>
      </c>
      <c r="K41" s="807">
        <f t="shared" si="6"/>
        <v>0.22583333333333333</v>
      </c>
      <c r="L41" s="807">
        <f t="shared" si="6"/>
        <v>0.15250000000000002</v>
      </c>
      <c r="M41" s="807">
        <f t="shared" si="6"/>
        <v>0</v>
      </c>
      <c r="N41" s="806" t="s">
        <v>2114</v>
      </c>
      <c r="O41" s="807">
        <f t="shared" ref="O41:Z41" si="7">AVERAGE(O42:O53)</f>
        <v>0.27916666666666662</v>
      </c>
      <c r="P41" s="807">
        <f t="shared" si="7"/>
        <v>0.12083333333333336</v>
      </c>
      <c r="Q41" s="807">
        <f t="shared" si="7"/>
        <v>8.2500000000000018E-2</v>
      </c>
      <c r="R41" s="807">
        <f t="shared" si="7"/>
        <v>0.46666666666666673</v>
      </c>
      <c r="S41" s="807">
        <f t="shared" si="7"/>
        <v>0.27333333333333337</v>
      </c>
      <c r="T41" s="807">
        <f t="shared" si="7"/>
        <v>0.14833333333333332</v>
      </c>
      <c r="U41" s="807">
        <f t="shared" si="7"/>
        <v>0.46333333333333321</v>
      </c>
      <c r="V41" s="807">
        <f t="shared" si="7"/>
        <v>0.31583333333333335</v>
      </c>
      <c r="W41" s="807">
        <f t="shared" si="7"/>
        <v>0.22916666666666663</v>
      </c>
      <c r="X41" s="807">
        <f t="shared" si="7"/>
        <v>0.69916666666666671</v>
      </c>
      <c r="Y41" s="807">
        <f t="shared" si="7"/>
        <v>0.49</v>
      </c>
      <c r="Z41" s="807">
        <f t="shared" si="7"/>
        <v>0.32</v>
      </c>
      <c r="AA41" s="806" t="s">
        <v>2114</v>
      </c>
      <c r="AB41" s="807">
        <f t="shared" ref="AB41:AM41" si="8">AVERAGE(AB42:AB53)</f>
        <v>0.48583333333333334</v>
      </c>
      <c r="AC41" s="807">
        <f t="shared" si="8"/>
        <v>0.38250000000000001</v>
      </c>
      <c r="AD41" s="807">
        <f t="shared" si="8"/>
        <v>0.54333333333333333</v>
      </c>
      <c r="AE41" s="807">
        <f t="shared" si="8"/>
        <v>0.75083333333333346</v>
      </c>
      <c r="AF41" s="807">
        <f t="shared" si="8"/>
        <v>0.46249999999999997</v>
      </c>
      <c r="AG41" s="807">
        <f t="shared" si="8"/>
        <v>0.46249999999999997</v>
      </c>
      <c r="AH41" s="807">
        <f t="shared" si="8"/>
        <v>0.57999999999999996</v>
      </c>
      <c r="AI41" s="807">
        <f t="shared" si="8"/>
        <v>0.71999999999999986</v>
      </c>
      <c r="AJ41" s="807">
        <f t="shared" si="8"/>
        <v>0.69499999999999995</v>
      </c>
      <c r="AK41" s="807">
        <f t="shared" si="8"/>
        <v>0.6758333333333334</v>
      </c>
      <c r="AL41" s="807">
        <f t="shared" si="8"/>
        <v>0.69750000000000012</v>
      </c>
      <c r="AM41" s="807">
        <f t="shared" si="8"/>
        <v>0.92499999999999993</v>
      </c>
    </row>
    <row r="42" spans="1:39" s="324" customFormat="1" ht="11.1" customHeight="1">
      <c r="A42" s="669" t="s">
        <v>742</v>
      </c>
      <c r="B42" s="295">
        <v>0.18</v>
      </c>
      <c r="C42" s="695">
        <v>0.1</v>
      </c>
      <c r="D42" s="695">
        <v>0</v>
      </c>
      <c r="E42" s="695">
        <v>0.12</v>
      </c>
      <c r="F42" s="695">
        <v>0.19</v>
      </c>
      <c r="G42" s="695">
        <v>0</v>
      </c>
      <c r="H42" s="695">
        <v>0.21</v>
      </c>
      <c r="I42" s="695">
        <v>0.12</v>
      </c>
      <c r="J42" s="695">
        <v>0</v>
      </c>
      <c r="K42" s="695">
        <v>0.37</v>
      </c>
      <c r="L42" s="695">
        <v>0.27</v>
      </c>
      <c r="M42" s="695">
        <v>0</v>
      </c>
      <c r="N42" s="669" t="s">
        <v>742</v>
      </c>
      <c r="O42" s="695">
        <v>0.43</v>
      </c>
      <c r="P42" s="695">
        <v>0.25</v>
      </c>
      <c r="Q42" s="695">
        <v>0.22</v>
      </c>
      <c r="R42" s="695">
        <v>0.68</v>
      </c>
      <c r="S42" s="695">
        <v>0.44</v>
      </c>
      <c r="T42" s="695">
        <v>0.22</v>
      </c>
      <c r="U42" s="695">
        <v>0.7</v>
      </c>
      <c r="V42" s="695">
        <v>0.39</v>
      </c>
      <c r="W42" s="695">
        <v>0.28000000000000003</v>
      </c>
      <c r="X42" s="695">
        <v>0.93</v>
      </c>
      <c r="Y42" s="695">
        <v>0.53</v>
      </c>
      <c r="Z42" s="695">
        <v>0.35</v>
      </c>
      <c r="AA42" s="669" t="s">
        <v>742</v>
      </c>
      <c r="AB42" s="695">
        <v>0.42</v>
      </c>
      <c r="AC42" s="695">
        <v>0.49</v>
      </c>
      <c r="AD42" s="695">
        <v>0.56999999999999995</v>
      </c>
      <c r="AE42" s="695">
        <v>0.87</v>
      </c>
      <c r="AF42" s="695">
        <v>0.57999999999999996</v>
      </c>
      <c r="AG42" s="695">
        <v>0.35</v>
      </c>
      <c r="AH42" s="695">
        <v>0.65</v>
      </c>
      <c r="AI42" s="695">
        <v>0.81</v>
      </c>
      <c r="AJ42" s="695">
        <v>0.53</v>
      </c>
      <c r="AK42" s="695">
        <v>0.84</v>
      </c>
      <c r="AL42" s="695">
        <v>0.81</v>
      </c>
      <c r="AM42" s="695">
        <v>0.7</v>
      </c>
    </row>
    <row r="43" spans="1:39" s="324" customFormat="1" ht="11.1" customHeight="1">
      <c r="A43" s="736" t="s">
        <v>743</v>
      </c>
      <c r="B43" s="362">
        <v>0.17</v>
      </c>
      <c r="C43" s="545">
        <v>7.0000000000000007E-2</v>
      </c>
      <c r="D43" s="545">
        <v>0</v>
      </c>
      <c r="E43" s="545">
        <v>7.0000000000000007E-2</v>
      </c>
      <c r="F43" s="545">
        <v>0.11</v>
      </c>
      <c r="G43" s="545">
        <v>0</v>
      </c>
      <c r="H43" s="545">
        <v>0.17</v>
      </c>
      <c r="I43" s="545">
        <v>0.34</v>
      </c>
      <c r="J43" s="545">
        <v>0</v>
      </c>
      <c r="K43" s="545">
        <v>0.31</v>
      </c>
      <c r="L43" s="545">
        <v>0.16</v>
      </c>
      <c r="M43" s="545">
        <v>0</v>
      </c>
      <c r="N43" s="736" t="s">
        <v>743</v>
      </c>
      <c r="O43" s="545">
        <v>0.37</v>
      </c>
      <c r="P43" s="545">
        <v>0.17</v>
      </c>
      <c r="Q43" s="545">
        <v>0.17</v>
      </c>
      <c r="R43" s="545">
        <v>0.56999999999999995</v>
      </c>
      <c r="S43" s="545">
        <v>0.4</v>
      </c>
      <c r="T43" s="545">
        <v>0.17</v>
      </c>
      <c r="U43" s="545">
        <v>0.56999999999999995</v>
      </c>
      <c r="V43" s="545">
        <v>0.36</v>
      </c>
      <c r="W43" s="545">
        <v>0.23</v>
      </c>
      <c r="X43" s="545">
        <v>0.79</v>
      </c>
      <c r="Y43" s="545">
        <v>0.42</v>
      </c>
      <c r="Z43" s="545">
        <v>0.3</v>
      </c>
      <c r="AA43" s="736" t="s">
        <v>743</v>
      </c>
      <c r="AB43" s="545">
        <v>0.55000000000000004</v>
      </c>
      <c r="AC43" s="545">
        <v>0.48</v>
      </c>
      <c r="AD43" s="545">
        <v>0.56999999999999995</v>
      </c>
      <c r="AE43" s="545">
        <v>0.98</v>
      </c>
      <c r="AF43" s="545">
        <v>0.6</v>
      </c>
      <c r="AG43" s="545">
        <v>0.5</v>
      </c>
      <c r="AH43" s="545">
        <v>0.74</v>
      </c>
      <c r="AI43" s="545">
        <v>0.9</v>
      </c>
      <c r="AJ43" s="545">
        <v>0.75</v>
      </c>
      <c r="AK43" s="545">
        <v>0.83</v>
      </c>
      <c r="AL43" s="545">
        <v>0.63</v>
      </c>
      <c r="AM43" s="545">
        <v>1</v>
      </c>
    </row>
    <row r="44" spans="1:39" s="324" customFormat="1" ht="11.1" customHeight="1">
      <c r="A44" s="669" t="s">
        <v>737</v>
      </c>
      <c r="B44" s="295">
        <v>0.12</v>
      </c>
      <c r="C44" s="695">
        <v>0.04</v>
      </c>
      <c r="D44" s="695">
        <v>0</v>
      </c>
      <c r="E44" s="695">
        <v>0.18</v>
      </c>
      <c r="F44" s="695">
        <v>0.05</v>
      </c>
      <c r="G44" s="695">
        <v>0</v>
      </c>
      <c r="H44" s="695">
        <v>0.17</v>
      </c>
      <c r="I44" s="695">
        <v>0.08</v>
      </c>
      <c r="J44" s="695">
        <v>0</v>
      </c>
      <c r="K44" s="695">
        <v>0.31</v>
      </c>
      <c r="L44" s="695">
        <v>0.17</v>
      </c>
      <c r="M44" s="695">
        <v>0</v>
      </c>
      <c r="N44" s="669" t="s">
        <v>737</v>
      </c>
      <c r="O44" s="695">
        <v>0.33</v>
      </c>
      <c r="P44" s="695">
        <v>0.13</v>
      </c>
      <c r="Q44" s="695">
        <v>0.04</v>
      </c>
      <c r="R44" s="695">
        <v>0.53</v>
      </c>
      <c r="S44" s="695">
        <v>0.37</v>
      </c>
      <c r="T44" s="695">
        <v>0.12</v>
      </c>
      <c r="U44" s="695">
        <v>0.52</v>
      </c>
      <c r="V44" s="695">
        <v>0.3</v>
      </c>
      <c r="W44" s="695">
        <v>0.2</v>
      </c>
      <c r="X44" s="695">
        <v>0.71</v>
      </c>
      <c r="Y44" s="695">
        <v>0.37</v>
      </c>
      <c r="Z44" s="695">
        <v>0.28999999999999998</v>
      </c>
      <c r="AA44" s="669" t="s">
        <v>737</v>
      </c>
      <c r="AB44" s="695">
        <v>0.45</v>
      </c>
      <c r="AC44" s="695">
        <v>0.5</v>
      </c>
      <c r="AD44" s="695">
        <v>0.56999999999999995</v>
      </c>
      <c r="AE44" s="695">
        <v>0.87</v>
      </c>
      <c r="AF44" s="695">
        <v>0.56999999999999995</v>
      </c>
      <c r="AG44" s="695">
        <v>0.35</v>
      </c>
      <c r="AH44" s="695">
        <v>0.64</v>
      </c>
      <c r="AI44" s="695">
        <v>0.61</v>
      </c>
      <c r="AJ44" s="695">
        <v>0.53</v>
      </c>
      <c r="AK44" s="695">
        <v>0.7</v>
      </c>
      <c r="AL44" s="695">
        <v>0.67</v>
      </c>
      <c r="AM44" s="695">
        <v>0.7</v>
      </c>
    </row>
    <row r="45" spans="1:39" s="324" customFormat="1" ht="11.1" customHeight="1">
      <c r="A45" s="736" t="s">
        <v>744</v>
      </c>
      <c r="B45" s="362">
        <v>0.15</v>
      </c>
      <c r="C45" s="545">
        <v>0.05</v>
      </c>
      <c r="D45" s="545">
        <v>0</v>
      </c>
      <c r="E45" s="545">
        <v>0.23</v>
      </c>
      <c r="F45" s="545">
        <v>0.06</v>
      </c>
      <c r="G45" s="545">
        <v>0</v>
      </c>
      <c r="H45" s="545">
        <v>0.18</v>
      </c>
      <c r="I45" s="545">
        <v>0.09</v>
      </c>
      <c r="J45" s="545">
        <v>0</v>
      </c>
      <c r="K45" s="545">
        <v>0.23</v>
      </c>
      <c r="L45" s="545">
        <v>0.16</v>
      </c>
      <c r="M45" s="545">
        <v>0</v>
      </c>
      <c r="N45" s="736" t="s">
        <v>744</v>
      </c>
      <c r="O45" s="545">
        <v>0.32</v>
      </c>
      <c r="P45" s="545">
        <v>0.12</v>
      </c>
      <c r="Q45" s="545">
        <v>0.04</v>
      </c>
      <c r="R45" s="545">
        <v>0.46</v>
      </c>
      <c r="S45" s="545">
        <v>0.23</v>
      </c>
      <c r="T45" s="545">
        <v>0.12</v>
      </c>
      <c r="U45" s="545">
        <v>0.49</v>
      </c>
      <c r="V45" s="545">
        <v>0.28999999999999998</v>
      </c>
      <c r="W45" s="545">
        <v>0.2</v>
      </c>
      <c r="X45" s="545">
        <v>0.68</v>
      </c>
      <c r="Y45" s="545">
        <v>0.39</v>
      </c>
      <c r="Z45" s="545">
        <v>0.28999999999999998</v>
      </c>
      <c r="AA45" s="736" t="s">
        <v>744</v>
      </c>
      <c r="AB45" s="545">
        <v>0.42</v>
      </c>
      <c r="AC45" s="545">
        <v>0.51</v>
      </c>
      <c r="AD45" s="545">
        <v>0.56999999999999995</v>
      </c>
      <c r="AE45" s="545">
        <v>1.01</v>
      </c>
      <c r="AF45" s="545">
        <v>0.56000000000000005</v>
      </c>
      <c r="AG45" s="545">
        <v>0.35</v>
      </c>
      <c r="AH45" s="545">
        <v>0.72</v>
      </c>
      <c r="AI45" s="545">
        <v>0.59</v>
      </c>
      <c r="AJ45" s="545">
        <v>0.53</v>
      </c>
      <c r="AK45" s="545">
        <v>0.84</v>
      </c>
      <c r="AL45" s="545">
        <v>0.67</v>
      </c>
      <c r="AM45" s="545">
        <v>0.7</v>
      </c>
    </row>
    <row r="46" spans="1:39" s="324" customFormat="1" ht="11.1" customHeight="1">
      <c r="A46" s="669" t="s">
        <v>745</v>
      </c>
      <c r="B46" s="295">
        <v>0.14000000000000001</v>
      </c>
      <c r="C46" s="695">
        <v>0.04</v>
      </c>
      <c r="D46" s="695">
        <v>0</v>
      </c>
      <c r="E46" s="695">
        <v>0.22</v>
      </c>
      <c r="F46" s="695">
        <v>0.05</v>
      </c>
      <c r="G46" s="695">
        <v>0</v>
      </c>
      <c r="H46" s="695">
        <v>0.25</v>
      </c>
      <c r="I46" s="695">
        <v>7.0000000000000007E-2</v>
      </c>
      <c r="J46" s="695">
        <v>0</v>
      </c>
      <c r="K46" s="695">
        <v>0.25</v>
      </c>
      <c r="L46" s="695">
        <v>0.14000000000000001</v>
      </c>
      <c r="M46" s="695">
        <v>0</v>
      </c>
      <c r="N46" s="669" t="s">
        <v>745</v>
      </c>
      <c r="O46" s="695">
        <v>0.28000000000000003</v>
      </c>
      <c r="P46" s="695">
        <v>0.12</v>
      </c>
      <c r="Q46" s="695">
        <v>0.18</v>
      </c>
      <c r="R46" s="695">
        <v>0.44</v>
      </c>
      <c r="S46" s="695">
        <v>0.23</v>
      </c>
      <c r="T46" s="695">
        <v>0.18</v>
      </c>
      <c r="U46" s="695">
        <v>0.47</v>
      </c>
      <c r="V46" s="695">
        <v>0.33</v>
      </c>
      <c r="W46" s="695">
        <v>0.24</v>
      </c>
      <c r="X46" s="695">
        <v>0.68</v>
      </c>
      <c r="Y46" s="695">
        <v>1.4</v>
      </c>
      <c r="Z46" s="695">
        <v>0.31</v>
      </c>
      <c r="AA46" s="669" t="s">
        <v>745</v>
      </c>
      <c r="AB46" s="695">
        <v>0.56999999999999995</v>
      </c>
      <c r="AC46" s="695">
        <v>0.49</v>
      </c>
      <c r="AD46" s="695">
        <v>0.56999999999999995</v>
      </c>
      <c r="AE46" s="695">
        <v>0.78</v>
      </c>
      <c r="AF46" s="695">
        <v>0.57999999999999996</v>
      </c>
      <c r="AG46" s="695">
        <v>0.5</v>
      </c>
      <c r="AH46" s="695">
        <v>0.53</v>
      </c>
      <c r="AI46" s="695">
        <v>0.57999999999999996</v>
      </c>
      <c r="AJ46" s="695">
        <v>0.75</v>
      </c>
      <c r="AK46" s="695">
        <v>0.6</v>
      </c>
      <c r="AL46" s="695">
        <v>0.66</v>
      </c>
      <c r="AM46" s="695">
        <v>1</v>
      </c>
    </row>
    <row r="47" spans="1:39" s="324" customFormat="1" ht="11.1" customHeight="1">
      <c r="A47" s="736" t="s">
        <v>738</v>
      </c>
      <c r="B47" s="362">
        <v>0.15</v>
      </c>
      <c r="C47" s="545">
        <v>0.04</v>
      </c>
      <c r="D47" s="545">
        <v>0</v>
      </c>
      <c r="E47" s="545">
        <v>0.23</v>
      </c>
      <c r="F47" s="545">
        <v>0.05</v>
      </c>
      <c r="G47" s="545">
        <v>0</v>
      </c>
      <c r="H47" s="545">
        <v>0.17</v>
      </c>
      <c r="I47" s="545">
        <v>0.06</v>
      </c>
      <c r="J47" s="545">
        <v>0</v>
      </c>
      <c r="K47" s="545">
        <v>0.21</v>
      </c>
      <c r="L47" s="545">
        <v>0.13</v>
      </c>
      <c r="M47" s="545">
        <v>0</v>
      </c>
      <c r="N47" s="736" t="s">
        <v>738</v>
      </c>
      <c r="O47" s="545">
        <v>0.24</v>
      </c>
      <c r="P47" s="545">
        <v>0.09</v>
      </c>
      <c r="Q47" s="545">
        <v>0.04</v>
      </c>
      <c r="R47" s="545">
        <v>0.41</v>
      </c>
      <c r="S47" s="545">
        <v>0.21</v>
      </c>
      <c r="T47" s="545">
        <v>0.12</v>
      </c>
      <c r="U47" s="545">
        <v>0.46</v>
      </c>
      <c r="V47" s="545">
        <v>0.28000000000000003</v>
      </c>
      <c r="W47" s="545">
        <v>0.2</v>
      </c>
      <c r="X47" s="545">
        <v>0.68</v>
      </c>
      <c r="Y47" s="545">
        <v>0.37</v>
      </c>
      <c r="Z47" s="545">
        <v>0.28999999999999998</v>
      </c>
      <c r="AA47" s="736" t="s">
        <v>738</v>
      </c>
      <c r="AB47" s="545">
        <v>0.51</v>
      </c>
      <c r="AC47" s="545">
        <v>0.49</v>
      </c>
      <c r="AD47" s="545">
        <v>0.56999999999999995</v>
      </c>
      <c r="AE47" s="545">
        <v>0.82</v>
      </c>
      <c r="AF47" s="545">
        <v>0.37</v>
      </c>
      <c r="AG47" s="545">
        <v>0.5</v>
      </c>
      <c r="AH47" s="545">
        <v>0.5</v>
      </c>
      <c r="AI47" s="545">
        <v>0.85</v>
      </c>
      <c r="AJ47" s="545">
        <v>0.75</v>
      </c>
      <c r="AK47" s="545">
        <v>0.59</v>
      </c>
      <c r="AL47" s="545">
        <v>0.66</v>
      </c>
      <c r="AM47" s="545">
        <v>1</v>
      </c>
    </row>
    <row r="48" spans="1:39" s="324" customFormat="1" ht="11.1" customHeight="1">
      <c r="A48" s="669" t="s">
        <v>746</v>
      </c>
      <c r="B48" s="295">
        <v>0.14000000000000001</v>
      </c>
      <c r="C48" s="695">
        <v>0.02</v>
      </c>
      <c r="D48" s="695">
        <v>0</v>
      </c>
      <c r="E48" s="695">
        <v>0.23</v>
      </c>
      <c r="F48" s="695">
        <v>0.03</v>
      </c>
      <c r="G48" s="695">
        <v>0</v>
      </c>
      <c r="H48" s="695">
        <v>0.17</v>
      </c>
      <c r="I48" s="695">
        <v>0.03</v>
      </c>
      <c r="J48" s="695">
        <v>0</v>
      </c>
      <c r="K48" s="695">
        <v>0.21</v>
      </c>
      <c r="L48" s="695">
        <v>0.09</v>
      </c>
      <c r="M48" s="695">
        <v>0</v>
      </c>
      <c r="N48" s="669" t="s">
        <v>746</v>
      </c>
      <c r="O48" s="695">
        <v>0.21</v>
      </c>
      <c r="P48" s="695">
        <v>0.09</v>
      </c>
      <c r="Q48" s="695">
        <v>0.04</v>
      </c>
      <c r="R48" s="695">
        <v>0.39</v>
      </c>
      <c r="S48" s="695">
        <v>0.22</v>
      </c>
      <c r="T48" s="695">
        <v>0.12</v>
      </c>
      <c r="U48" s="695">
        <v>0.38</v>
      </c>
      <c r="V48" s="695">
        <v>0.28000000000000003</v>
      </c>
      <c r="W48" s="695">
        <v>0.2</v>
      </c>
      <c r="X48" s="695">
        <v>0.65</v>
      </c>
      <c r="Y48" s="695">
        <v>0.36</v>
      </c>
      <c r="Z48" s="695">
        <v>0.28999999999999998</v>
      </c>
      <c r="AA48" s="669" t="s">
        <v>746</v>
      </c>
      <c r="AB48" s="695">
        <v>0.56000000000000005</v>
      </c>
      <c r="AC48" s="695">
        <v>0.26</v>
      </c>
      <c r="AD48" s="695">
        <v>0.56999999999999995</v>
      </c>
      <c r="AE48" s="695">
        <v>0.6</v>
      </c>
      <c r="AF48" s="695">
        <v>0.37</v>
      </c>
      <c r="AG48" s="695">
        <v>0.5</v>
      </c>
      <c r="AH48" s="695">
        <v>0.49</v>
      </c>
      <c r="AI48" s="695">
        <v>0.85</v>
      </c>
      <c r="AJ48" s="695">
        <v>0.75</v>
      </c>
      <c r="AK48" s="695">
        <v>0.6</v>
      </c>
      <c r="AL48" s="695">
        <v>0.66</v>
      </c>
      <c r="AM48" s="695">
        <v>1</v>
      </c>
    </row>
    <row r="49" spans="1:40" s="324" customFormat="1" ht="11.1" customHeight="1">
      <c r="A49" s="736" t="s">
        <v>747</v>
      </c>
      <c r="B49" s="362">
        <v>0.12</v>
      </c>
      <c r="C49" s="545">
        <v>0.03</v>
      </c>
      <c r="D49" s="545">
        <v>0</v>
      </c>
      <c r="E49" s="545">
        <v>0.21</v>
      </c>
      <c r="F49" s="545">
        <v>0.04</v>
      </c>
      <c r="G49" s="545">
        <v>0</v>
      </c>
      <c r="H49" s="545">
        <v>0.15</v>
      </c>
      <c r="I49" s="545">
        <v>0.05</v>
      </c>
      <c r="J49" s="545">
        <v>0</v>
      </c>
      <c r="K49" s="545">
        <v>0.18</v>
      </c>
      <c r="L49" s="545">
        <v>0.09</v>
      </c>
      <c r="M49" s="545">
        <v>0</v>
      </c>
      <c r="N49" s="736" t="s">
        <v>747</v>
      </c>
      <c r="O49" s="545">
        <v>0.24</v>
      </c>
      <c r="P49" s="545">
        <v>0.1</v>
      </c>
      <c r="Q49" s="545">
        <v>0.04</v>
      </c>
      <c r="R49" s="545">
        <v>0.42</v>
      </c>
      <c r="S49" s="545">
        <v>0.22</v>
      </c>
      <c r="T49" s="545">
        <v>0.12</v>
      </c>
      <c r="U49" s="545">
        <v>0.43</v>
      </c>
      <c r="V49" s="545">
        <v>0.3</v>
      </c>
      <c r="W49" s="545">
        <v>0.21</v>
      </c>
      <c r="X49" s="545">
        <v>0.74</v>
      </c>
      <c r="Y49" s="545">
        <v>0.39</v>
      </c>
      <c r="Z49" s="545">
        <v>0.3</v>
      </c>
      <c r="AA49" s="736" t="s">
        <v>747</v>
      </c>
      <c r="AB49" s="545">
        <v>0.56999999999999995</v>
      </c>
      <c r="AC49" s="545">
        <v>0.27</v>
      </c>
      <c r="AD49" s="545">
        <v>0.56999999999999995</v>
      </c>
      <c r="AE49" s="545">
        <v>0.71</v>
      </c>
      <c r="AF49" s="545">
        <v>0.37</v>
      </c>
      <c r="AG49" s="545">
        <v>0.5</v>
      </c>
      <c r="AH49" s="545">
        <v>0.62</v>
      </c>
      <c r="AI49" s="545">
        <v>0.85</v>
      </c>
      <c r="AJ49" s="545">
        <v>0.75</v>
      </c>
      <c r="AK49" s="545">
        <v>0.76</v>
      </c>
      <c r="AL49" s="545">
        <v>0.66</v>
      </c>
      <c r="AM49" s="545">
        <v>1</v>
      </c>
    </row>
    <row r="50" spans="1:40" s="324" customFormat="1" ht="11.1" customHeight="1">
      <c r="A50" s="669" t="s">
        <v>739</v>
      </c>
      <c r="B50" s="295">
        <v>0.11</v>
      </c>
      <c r="C50" s="695">
        <v>0.05</v>
      </c>
      <c r="D50" s="695">
        <v>0</v>
      </c>
      <c r="E50" s="695">
        <v>0.19</v>
      </c>
      <c r="F50" s="695">
        <v>0.06</v>
      </c>
      <c r="G50" s="695">
        <v>0</v>
      </c>
      <c r="H50" s="695">
        <v>0.2</v>
      </c>
      <c r="I50" s="695">
        <v>0.08</v>
      </c>
      <c r="J50" s="695">
        <v>0</v>
      </c>
      <c r="K50" s="695">
        <v>0.16</v>
      </c>
      <c r="L50" s="695">
        <v>0.14000000000000001</v>
      </c>
      <c r="M50" s="695">
        <v>0</v>
      </c>
      <c r="N50" s="669" t="s">
        <v>739</v>
      </c>
      <c r="O50" s="695">
        <v>0.26</v>
      </c>
      <c r="P50" s="695">
        <v>0.1</v>
      </c>
      <c r="Q50" s="695">
        <v>0.06</v>
      </c>
      <c r="R50" s="695">
        <v>0.36</v>
      </c>
      <c r="S50" s="695">
        <v>0.26</v>
      </c>
      <c r="T50" s="695">
        <v>0.16</v>
      </c>
      <c r="U50" s="695">
        <v>0.35</v>
      </c>
      <c r="V50" s="695">
        <v>0.34</v>
      </c>
      <c r="W50" s="695">
        <v>0.26</v>
      </c>
      <c r="X50" s="695">
        <v>0.64</v>
      </c>
      <c r="Y50" s="695">
        <v>0.44</v>
      </c>
      <c r="Z50" s="695">
        <v>0.37</v>
      </c>
      <c r="AA50" s="669" t="s">
        <v>739</v>
      </c>
      <c r="AB50" s="695">
        <v>0.42</v>
      </c>
      <c r="AC50" s="695">
        <v>0.28999999999999998</v>
      </c>
      <c r="AD50" s="695">
        <v>0.56999999999999995</v>
      </c>
      <c r="AE50" s="695">
        <v>0.57999999999999996</v>
      </c>
      <c r="AF50" s="695">
        <v>0.39</v>
      </c>
      <c r="AG50" s="695">
        <v>0.5</v>
      </c>
      <c r="AH50" s="695">
        <v>0.56999999999999995</v>
      </c>
      <c r="AI50" s="695">
        <v>0.57999999999999996</v>
      </c>
      <c r="AJ50" s="695">
        <v>0.75</v>
      </c>
      <c r="AK50" s="695">
        <v>0.56000000000000005</v>
      </c>
      <c r="AL50" s="695">
        <v>0.65</v>
      </c>
      <c r="AM50" s="695">
        <v>1</v>
      </c>
    </row>
    <row r="51" spans="1:40" s="324" customFormat="1" ht="11.1" customHeight="1">
      <c r="A51" s="736" t="s">
        <v>748</v>
      </c>
      <c r="B51" s="362">
        <v>0.13</v>
      </c>
      <c r="C51" s="545">
        <v>7.0000000000000007E-2</v>
      </c>
      <c r="D51" s="545">
        <v>0</v>
      </c>
      <c r="E51" s="545">
        <v>0.19</v>
      </c>
      <c r="F51" s="545">
        <v>0.08</v>
      </c>
      <c r="G51" s="545">
        <v>0</v>
      </c>
      <c r="H51" s="545">
        <v>0.21</v>
      </c>
      <c r="I51" s="545">
        <v>0.06</v>
      </c>
      <c r="J51" s="545">
        <v>0</v>
      </c>
      <c r="K51" s="545">
        <v>0.16</v>
      </c>
      <c r="L51" s="545">
        <v>0.16</v>
      </c>
      <c r="M51" s="545">
        <v>0</v>
      </c>
      <c r="N51" s="736" t="s">
        <v>748</v>
      </c>
      <c r="O51" s="545">
        <v>0.22</v>
      </c>
      <c r="P51" s="545">
        <v>0.1</v>
      </c>
      <c r="Q51" s="545">
        <v>0.06</v>
      </c>
      <c r="R51" s="545">
        <v>0.46</v>
      </c>
      <c r="S51" s="545">
        <v>0.26</v>
      </c>
      <c r="T51" s="545">
        <v>0.16</v>
      </c>
      <c r="U51" s="545">
        <v>0.39</v>
      </c>
      <c r="V51" s="545">
        <v>0.34</v>
      </c>
      <c r="W51" s="545">
        <v>0.26</v>
      </c>
      <c r="X51" s="545">
        <v>0.65</v>
      </c>
      <c r="Y51" s="545">
        <v>0.44</v>
      </c>
      <c r="Z51" s="545">
        <v>0.37</v>
      </c>
      <c r="AA51" s="736" t="s">
        <v>748</v>
      </c>
      <c r="AB51" s="545">
        <v>0.43</v>
      </c>
      <c r="AC51" s="545">
        <v>0.27</v>
      </c>
      <c r="AD51" s="545">
        <v>0.56999999999999995</v>
      </c>
      <c r="AE51" s="545">
        <v>0.56999999999999995</v>
      </c>
      <c r="AF51" s="545">
        <v>0.39</v>
      </c>
      <c r="AG51" s="545">
        <v>0.5</v>
      </c>
      <c r="AH51" s="545">
        <v>0.47</v>
      </c>
      <c r="AI51" s="545">
        <v>0.57999999999999996</v>
      </c>
      <c r="AJ51" s="545">
        <v>0.75</v>
      </c>
      <c r="AK51" s="545">
        <v>0.56000000000000005</v>
      </c>
      <c r="AL51" s="545">
        <v>0.66</v>
      </c>
      <c r="AM51" s="545">
        <v>1</v>
      </c>
    </row>
    <row r="52" spans="1:40" s="324" customFormat="1" ht="11.1" customHeight="1">
      <c r="A52" s="669" t="s">
        <v>749</v>
      </c>
      <c r="B52" s="295">
        <v>0.11</v>
      </c>
      <c r="C52" s="695">
        <v>0.06</v>
      </c>
      <c r="D52" s="695">
        <v>0</v>
      </c>
      <c r="E52" s="695">
        <v>0.18</v>
      </c>
      <c r="F52" s="695">
        <v>0.09</v>
      </c>
      <c r="G52" s="695">
        <v>0</v>
      </c>
      <c r="H52" s="695">
        <v>0.2</v>
      </c>
      <c r="I52" s="695">
        <v>0.11</v>
      </c>
      <c r="J52" s="695">
        <v>0</v>
      </c>
      <c r="K52" s="695">
        <v>0.15</v>
      </c>
      <c r="L52" s="695">
        <v>0.16</v>
      </c>
      <c r="M52" s="695">
        <v>0</v>
      </c>
      <c r="N52" s="669" t="s">
        <v>749</v>
      </c>
      <c r="O52" s="695">
        <v>0.21</v>
      </c>
      <c r="P52" s="695">
        <v>0.09</v>
      </c>
      <c r="Q52" s="695">
        <v>0.04</v>
      </c>
      <c r="R52" s="695">
        <v>0.41</v>
      </c>
      <c r="S52" s="695">
        <v>0.22</v>
      </c>
      <c r="T52" s="695">
        <v>0.14000000000000001</v>
      </c>
      <c r="U52" s="695">
        <v>0.35</v>
      </c>
      <c r="V52" s="695">
        <v>0.28999999999999998</v>
      </c>
      <c r="W52" s="695">
        <v>0.22</v>
      </c>
      <c r="X52" s="695">
        <v>0.59</v>
      </c>
      <c r="Y52" s="695">
        <v>0.38</v>
      </c>
      <c r="Z52" s="695">
        <v>0.31</v>
      </c>
      <c r="AA52" s="669" t="s">
        <v>749</v>
      </c>
      <c r="AB52" s="695">
        <v>0.53</v>
      </c>
      <c r="AC52" s="695">
        <v>0.27</v>
      </c>
      <c r="AD52" s="695">
        <v>0.25</v>
      </c>
      <c r="AE52" s="695">
        <v>0.66</v>
      </c>
      <c r="AF52" s="695">
        <v>0.4</v>
      </c>
      <c r="AG52" s="695">
        <v>0.5</v>
      </c>
      <c r="AH52" s="695">
        <v>0.56000000000000005</v>
      </c>
      <c r="AI52" s="695">
        <v>0.85</v>
      </c>
      <c r="AJ52" s="695">
        <v>0.75</v>
      </c>
      <c r="AK52" s="695">
        <v>0.67</v>
      </c>
      <c r="AL52" s="695">
        <v>1</v>
      </c>
      <c r="AM52" s="695">
        <v>1</v>
      </c>
    </row>
    <row r="53" spans="1:40" s="324" customFormat="1" ht="11.1" customHeight="1" thickBot="1">
      <c r="A53" s="1592" t="s">
        <v>740</v>
      </c>
      <c r="B53" s="1593">
        <v>0.1</v>
      </c>
      <c r="C53" s="1579">
        <v>0.06</v>
      </c>
      <c r="D53" s="1579">
        <v>0</v>
      </c>
      <c r="E53" s="1579">
        <v>0.15</v>
      </c>
      <c r="F53" s="1579">
        <v>0.08</v>
      </c>
      <c r="G53" s="1579">
        <v>0</v>
      </c>
      <c r="H53" s="1579">
        <v>0.18</v>
      </c>
      <c r="I53" s="1579">
        <v>0.11</v>
      </c>
      <c r="J53" s="1579">
        <v>0</v>
      </c>
      <c r="K53" s="1579">
        <v>0.17</v>
      </c>
      <c r="L53" s="1579">
        <v>0.16</v>
      </c>
      <c r="M53" s="1579">
        <v>0</v>
      </c>
      <c r="N53" s="1592" t="s">
        <v>740</v>
      </c>
      <c r="O53" s="1579">
        <v>0.24</v>
      </c>
      <c r="P53" s="1579">
        <v>0.09</v>
      </c>
      <c r="Q53" s="1579">
        <v>0.06</v>
      </c>
      <c r="R53" s="1579">
        <v>0.47</v>
      </c>
      <c r="S53" s="1579">
        <v>0.22</v>
      </c>
      <c r="T53" s="1579">
        <v>0.15</v>
      </c>
      <c r="U53" s="1579">
        <v>0.45</v>
      </c>
      <c r="V53" s="1579">
        <v>0.28999999999999998</v>
      </c>
      <c r="W53" s="1579">
        <v>0.25</v>
      </c>
      <c r="X53" s="1579">
        <v>0.65</v>
      </c>
      <c r="Y53" s="1579">
        <v>0.39</v>
      </c>
      <c r="Z53" s="1579">
        <v>0.37</v>
      </c>
      <c r="AA53" s="1592" t="s">
        <v>740</v>
      </c>
      <c r="AB53" s="1579">
        <v>0.4</v>
      </c>
      <c r="AC53" s="1579">
        <v>0.27</v>
      </c>
      <c r="AD53" s="1579">
        <v>0.56999999999999995</v>
      </c>
      <c r="AE53" s="1579">
        <v>0.56000000000000005</v>
      </c>
      <c r="AF53" s="1579">
        <v>0.37</v>
      </c>
      <c r="AG53" s="1579">
        <v>0.5</v>
      </c>
      <c r="AH53" s="1579">
        <v>0.47</v>
      </c>
      <c r="AI53" s="1579">
        <v>0.59</v>
      </c>
      <c r="AJ53" s="1579">
        <v>0.75</v>
      </c>
      <c r="AK53" s="1579">
        <v>0.56000000000000005</v>
      </c>
      <c r="AL53" s="1579">
        <v>0.64</v>
      </c>
      <c r="AM53" s="1579">
        <v>1</v>
      </c>
    </row>
    <row r="54" spans="1:40">
      <c r="A54" s="152" t="s">
        <v>541</v>
      </c>
      <c r="B54" s="2205" t="s">
        <v>1638</v>
      </c>
      <c r="C54" s="2205"/>
      <c r="D54" s="2205"/>
      <c r="E54" s="2205"/>
      <c r="F54" s="2205"/>
      <c r="G54" s="65"/>
      <c r="H54" s="31"/>
      <c r="I54" s="31"/>
      <c r="J54" s="31"/>
      <c r="K54" s="31"/>
      <c r="L54" s="31"/>
      <c r="M54" s="31"/>
      <c r="N54" s="152" t="s">
        <v>541</v>
      </c>
      <c r="O54" s="2205" t="s">
        <v>1638</v>
      </c>
      <c r="P54" s="2205"/>
      <c r="Q54" s="2205"/>
      <c r="R54" s="2205"/>
      <c r="S54" s="2205"/>
      <c r="T54" s="2205"/>
      <c r="AA54" s="152" t="s">
        <v>540</v>
      </c>
      <c r="AB54" s="1816" t="s">
        <v>1638</v>
      </c>
      <c r="AC54" s="1816"/>
      <c r="AD54" s="1816"/>
      <c r="AE54" s="1816"/>
      <c r="AF54" s="1816"/>
      <c r="AG54" s="34"/>
      <c r="AH54" s="34"/>
      <c r="AI54" s="34"/>
      <c r="AJ54" s="34"/>
      <c r="AK54" s="34"/>
      <c r="AL54" s="34"/>
    </row>
    <row r="55" spans="1:40" ht="9.75" customHeight="1">
      <c r="A55" s="55" t="s">
        <v>542</v>
      </c>
      <c r="B55" s="2206"/>
      <c r="C55" s="2206"/>
      <c r="D55" s="2206"/>
      <c r="E55" s="68"/>
      <c r="F55" s="68"/>
      <c r="G55" s="68"/>
      <c r="H55" s="31"/>
      <c r="I55" s="31"/>
      <c r="J55" s="31"/>
      <c r="K55" s="31"/>
      <c r="L55" s="31"/>
      <c r="M55" s="31"/>
      <c r="N55" s="149" t="s">
        <v>261</v>
      </c>
      <c r="O55" s="2207"/>
      <c r="P55" s="2207"/>
      <c r="Q55" s="2207"/>
      <c r="R55" s="1039"/>
      <c r="S55" s="1039"/>
      <c r="T55" s="153"/>
      <c r="U55" s="151"/>
      <c r="V55" s="151"/>
      <c r="W55" s="151"/>
      <c r="X55" s="151"/>
      <c r="Y55" s="151"/>
      <c r="Z55" s="151"/>
      <c r="AA55" s="19" t="s">
        <v>538</v>
      </c>
      <c r="AB55" s="2201"/>
      <c r="AC55" s="2201"/>
      <c r="AD55" s="2201"/>
      <c r="AE55" s="102"/>
      <c r="AF55" s="102"/>
      <c r="AG55" s="34"/>
      <c r="AH55" s="34"/>
      <c r="AI55" s="34"/>
      <c r="AJ55" s="34"/>
      <c r="AK55" s="34"/>
      <c r="AL55" s="34"/>
    </row>
    <row r="56" spans="1:40"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</row>
    <row r="57" spans="1:40"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</row>
    <row r="58" spans="1:40"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</row>
    <row r="59" spans="1:40"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8"/>
      <c r="O59" s="19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8"/>
      <c r="AB59" s="105"/>
      <c r="AC59" s="19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</row>
    <row r="60" spans="1:40"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8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8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</row>
    <row r="61" spans="1:40"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</row>
    <row r="62" spans="1:40"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</row>
    <row r="63" spans="1:40"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</row>
    <row r="64" spans="1:40"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</row>
    <row r="65" spans="2:39"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</row>
    <row r="66" spans="2:39"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</row>
    <row r="67" spans="2:39"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</row>
    <row r="68" spans="2:39"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</row>
    <row r="69" spans="2:39"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</row>
    <row r="70" spans="2:39"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</row>
    <row r="71" spans="2:39"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</row>
    <row r="72" spans="2:39"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</row>
    <row r="73" spans="2:39"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</row>
    <row r="74" spans="2:39"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</row>
    <row r="75" spans="2:39"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</row>
    <row r="76" spans="2:39"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</row>
    <row r="77" spans="2:39"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</row>
    <row r="78" spans="2:39"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</row>
    <row r="79" spans="2:39"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</row>
  </sheetData>
  <mergeCells count="33">
    <mergeCell ref="B1:I1"/>
    <mergeCell ref="O1:V1"/>
    <mergeCell ref="AB1:AI1"/>
    <mergeCell ref="A3:A5"/>
    <mergeCell ref="B3:M3"/>
    <mergeCell ref="N3:N5"/>
    <mergeCell ref="O3:Z3"/>
    <mergeCell ref="B4:D4"/>
    <mergeCell ref="O4:Q4"/>
    <mergeCell ref="K4:M4"/>
    <mergeCell ref="K2:M2"/>
    <mergeCell ref="X2:Z2"/>
    <mergeCell ref="AK2:AM2"/>
    <mergeCell ref="K1:M1"/>
    <mergeCell ref="X1:Z1"/>
    <mergeCell ref="U4:W4"/>
    <mergeCell ref="X4:Z4"/>
    <mergeCell ref="AB3:AM3"/>
    <mergeCell ref="AK1:AM1"/>
    <mergeCell ref="AA3:AA5"/>
    <mergeCell ref="R4:T4"/>
    <mergeCell ref="O54:T54"/>
    <mergeCell ref="H4:J4"/>
    <mergeCell ref="E4:G4"/>
    <mergeCell ref="B54:F54"/>
    <mergeCell ref="B55:D55"/>
    <mergeCell ref="O55:Q55"/>
    <mergeCell ref="AB55:AD55"/>
    <mergeCell ref="AK4:AM4"/>
    <mergeCell ref="AB4:AD4"/>
    <mergeCell ref="AB54:AF54"/>
    <mergeCell ref="AH4:AJ4"/>
    <mergeCell ref="AE4:AG4"/>
  </mergeCells>
  <phoneticPr fontId="43" type="noConversion"/>
  <pageMargins left="0.59055118110236204" right="0.511811023622047" top="0.511811023622047" bottom="0.511811023622047" header="0" footer="0.43307086614173201"/>
  <pageSetup paperSize="448" firstPageNumber="75" orientation="portrait" useFirstPageNumber="1" r:id="rId1"/>
  <headerFooter>
    <oddFooter>&amp;C&amp;"Times New Roman,Regular"&amp;8&amp;P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O51"/>
  <sheetViews>
    <sheetView showWhiteSpace="0" topLeftCell="A31" zoomScale="130" zoomScaleNormal="130" workbookViewId="0">
      <selection activeCell="H54" sqref="H54"/>
    </sheetView>
  </sheetViews>
  <sheetFormatPr defaultColWidth="9.140625" defaultRowHeight="11.25"/>
  <cols>
    <col min="1" max="1" width="7.7109375" style="8" customWidth="1"/>
    <col min="2" max="2" width="9.28515625" style="8" customWidth="1"/>
    <col min="3" max="3" width="10.85546875" style="8" customWidth="1"/>
    <col min="4" max="4" width="11.42578125" style="8" customWidth="1"/>
    <col min="5" max="5" width="12.28515625" style="8" customWidth="1"/>
    <col min="6" max="6" width="12.85546875" style="8" customWidth="1"/>
    <col min="7" max="7" width="14.85546875" style="8" customWidth="1"/>
    <col min="8" max="16384" width="9.140625" style="8"/>
  </cols>
  <sheetData>
    <row r="1" spans="1:15" s="42" customFormat="1" ht="36" customHeight="1">
      <c r="B1" s="2214" t="s">
        <v>1829</v>
      </c>
      <c r="C1" s="2214"/>
      <c r="D1" s="2214"/>
      <c r="E1" s="2214"/>
      <c r="F1" s="2215" t="s">
        <v>516</v>
      </c>
      <c r="G1" s="2215"/>
    </row>
    <row r="2" spans="1:15" ht="11.25" customHeight="1">
      <c r="A2" s="2197"/>
      <c r="B2" s="2197"/>
      <c r="C2" s="2197"/>
      <c r="D2" s="2197"/>
      <c r="E2" s="2197"/>
      <c r="F2" s="2216" t="s">
        <v>690</v>
      </c>
      <c r="G2" s="2216"/>
    </row>
    <row r="3" spans="1:15" s="49" customFormat="1" ht="15.75" customHeight="1">
      <c r="A3" s="2111" t="s">
        <v>663</v>
      </c>
      <c r="B3" s="2217" t="s">
        <v>692</v>
      </c>
      <c r="C3" s="2046"/>
      <c r="D3" s="2046"/>
      <c r="E3" s="2046" t="s">
        <v>695</v>
      </c>
      <c r="F3" s="2046"/>
      <c r="G3" s="2046"/>
    </row>
    <row r="4" spans="1:15" s="49" customFormat="1" ht="15.75" customHeight="1">
      <c r="A4" s="2111"/>
      <c r="B4" s="141" t="s">
        <v>693</v>
      </c>
      <c r="C4" s="142" t="s">
        <v>694</v>
      </c>
      <c r="D4" s="24" t="s">
        <v>662</v>
      </c>
      <c r="E4" s="23" t="s">
        <v>693</v>
      </c>
      <c r="F4" s="23" t="s">
        <v>694</v>
      </c>
      <c r="G4" s="23" t="s">
        <v>662</v>
      </c>
    </row>
    <row r="5" spans="1:15" ht="13.35" customHeight="1">
      <c r="A5" s="311">
        <v>2009</v>
      </c>
      <c r="B5" s="15">
        <v>19</v>
      </c>
      <c r="C5" s="15">
        <v>0.05</v>
      </c>
      <c r="D5" s="15">
        <v>4.3883333333333336</v>
      </c>
      <c r="E5" s="15">
        <v>19</v>
      </c>
      <c r="F5" s="15">
        <v>0.05</v>
      </c>
      <c r="G5" s="15">
        <v>4.3883333333333336</v>
      </c>
    </row>
    <row r="6" spans="1:15" ht="13.35" customHeight="1">
      <c r="A6" s="405">
        <v>2010</v>
      </c>
      <c r="B6" s="394">
        <v>190</v>
      </c>
      <c r="C6" s="394">
        <v>2</v>
      </c>
      <c r="D6" s="394">
        <v>8.0549999999999997</v>
      </c>
      <c r="E6" s="394">
        <v>190</v>
      </c>
      <c r="F6" s="394">
        <v>2</v>
      </c>
      <c r="G6" s="394">
        <v>8.0549999999999997</v>
      </c>
    </row>
    <row r="7" spans="1:15" s="213" customFormat="1" ht="13.35" customHeight="1">
      <c r="A7" s="588">
        <v>2011</v>
      </c>
      <c r="B7" s="16">
        <v>24</v>
      </c>
      <c r="C7" s="16">
        <v>3</v>
      </c>
      <c r="D7" s="16">
        <v>11.16</v>
      </c>
      <c r="E7" s="16">
        <v>24</v>
      </c>
      <c r="F7" s="16">
        <v>3</v>
      </c>
      <c r="G7" s="16">
        <v>11.16</v>
      </c>
    </row>
    <row r="8" spans="1:15" s="213" customFormat="1" ht="13.35" customHeight="1">
      <c r="A8" s="764">
        <v>2012</v>
      </c>
      <c r="B8" s="394">
        <v>22</v>
      </c>
      <c r="C8" s="394">
        <v>3</v>
      </c>
      <c r="D8" s="394">
        <v>12.822499999999998</v>
      </c>
      <c r="E8" s="394">
        <v>22</v>
      </c>
      <c r="F8" s="394">
        <v>3</v>
      </c>
      <c r="G8" s="394">
        <v>12.822499999999998</v>
      </c>
    </row>
    <row r="9" spans="1:15" s="211" customFormat="1" ht="13.35" customHeight="1">
      <c r="A9" s="184">
        <v>2013</v>
      </c>
      <c r="B9" s="36">
        <v>13</v>
      </c>
      <c r="C9" s="36">
        <v>5.0999999999999996</v>
      </c>
      <c r="D9" s="36">
        <v>7.775833333333332</v>
      </c>
      <c r="E9" s="36">
        <v>13</v>
      </c>
      <c r="F9" s="36">
        <v>5.0999999999999996</v>
      </c>
      <c r="G9" s="36">
        <v>7.775833333333332</v>
      </c>
    </row>
    <row r="10" spans="1:15" s="211" customFormat="1" ht="13.35" customHeight="1">
      <c r="A10" s="384">
        <v>2014</v>
      </c>
      <c r="B10" s="372">
        <v>9.9</v>
      </c>
      <c r="C10" s="372">
        <v>5</v>
      </c>
      <c r="D10" s="372">
        <v>7.1399999999999979</v>
      </c>
      <c r="E10" s="372">
        <v>9.9</v>
      </c>
      <c r="F10" s="372">
        <v>5</v>
      </c>
      <c r="G10" s="372">
        <v>7.1399999999999979</v>
      </c>
    </row>
    <row r="11" spans="1:15" s="211" customFormat="1" ht="13.35" customHeight="1">
      <c r="A11" s="184">
        <v>2015</v>
      </c>
      <c r="B11" s="36">
        <v>9.9</v>
      </c>
      <c r="C11" s="36">
        <v>1.25</v>
      </c>
      <c r="D11" s="36">
        <v>6.1983333333333333</v>
      </c>
      <c r="E11" s="36">
        <v>9.9</v>
      </c>
      <c r="F11" s="36">
        <v>1.25</v>
      </c>
      <c r="G11" s="36">
        <v>6.145833333333333</v>
      </c>
    </row>
    <row r="12" spans="1:15" s="561" customFormat="1" ht="13.35" customHeight="1">
      <c r="A12" s="493">
        <v>2016</v>
      </c>
      <c r="B12" s="372">
        <v>5</v>
      </c>
      <c r="C12" s="372">
        <v>1</v>
      </c>
      <c r="D12" s="372">
        <v>3.6691666666666669</v>
      </c>
      <c r="E12" s="372">
        <v>5</v>
      </c>
      <c r="F12" s="372">
        <v>1</v>
      </c>
      <c r="G12" s="372">
        <v>3.6691666666666669</v>
      </c>
      <c r="H12" s="211"/>
      <c r="I12" s="313"/>
      <c r="J12" s="211"/>
      <c r="K12" s="211"/>
      <c r="L12" s="211"/>
      <c r="M12" s="211"/>
      <c r="N12" s="211"/>
      <c r="O12" s="211"/>
    </row>
    <row r="13" spans="1:15" s="561" customFormat="1" ht="13.35" customHeight="1">
      <c r="A13" s="479">
        <v>2017</v>
      </c>
      <c r="B13" s="36">
        <v>4.5</v>
      </c>
      <c r="C13" s="36">
        <v>1.5</v>
      </c>
      <c r="D13" s="36">
        <v>3.7674999999999996</v>
      </c>
      <c r="E13" s="36">
        <v>4.5</v>
      </c>
      <c r="F13" s="36">
        <v>1.5</v>
      </c>
      <c r="G13" s="36">
        <v>3.7674999999999996</v>
      </c>
      <c r="H13" s="211"/>
      <c r="I13" s="313"/>
      <c r="J13" s="211"/>
      <c r="K13" s="211"/>
      <c r="L13" s="211"/>
      <c r="M13" s="211"/>
      <c r="N13" s="211"/>
      <c r="O13" s="211"/>
    </row>
    <row r="14" spans="1:15" s="211" customFormat="1" ht="13.35" customHeight="1">
      <c r="A14" s="680">
        <v>2018</v>
      </c>
      <c r="B14" s="375">
        <v>5.5</v>
      </c>
      <c r="C14" s="375">
        <v>0.1</v>
      </c>
      <c r="D14" s="375">
        <v>3.6691666666666669</v>
      </c>
      <c r="E14" s="375">
        <v>5.5</v>
      </c>
      <c r="F14" s="375">
        <v>0.1</v>
      </c>
      <c r="G14" s="375">
        <v>3.6691666666666669</v>
      </c>
    </row>
    <row r="15" spans="1:15" s="9" customFormat="1" ht="13.35" customHeight="1">
      <c r="A15" s="614">
        <v>2019</v>
      </c>
      <c r="B15" s="185">
        <f>MAX(B16:B27)</f>
        <v>5.5</v>
      </c>
      <c r="C15" s="185">
        <f>MIN(C16:C27)</f>
        <v>0.75</v>
      </c>
      <c r="D15" s="185">
        <f>AVERAGE(D16:D27)</f>
        <v>4.4274999999999993</v>
      </c>
      <c r="E15" s="185">
        <f>MAX(E16:E27)</f>
        <v>5.5</v>
      </c>
      <c r="F15" s="185">
        <f>MIN(F16:F27)</f>
        <v>0.75</v>
      </c>
      <c r="G15" s="185">
        <f>AVERAGE(G16:G27)</f>
        <v>4.4274999999999993</v>
      </c>
    </row>
    <row r="16" spans="1:15" s="9" customFormat="1" ht="13.35" customHeight="1">
      <c r="A16" s="493" t="s">
        <v>746</v>
      </c>
      <c r="B16" s="367">
        <v>5</v>
      </c>
      <c r="C16" s="367">
        <v>1.75</v>
      </c>
      <c r="D16" s="367">
        <v>4.12</v>
      </c>
      <c r="E16" s="367">
        <v>5</v>
      </c>
      <c r="F16" s="367">
        <v>1.75</v>
      </c>
      <c r="G16" s="367">
        <v>4.12</v>
      </c>
    </row>
    <row r="17" spans="1:7" s="9" customFormat="1" ht="13.35" customHeight="1">
      <c r="A17" s="479" t="s">
        <v>747</v>
      </c>
      <c r="B17" s="325">
        <v>5</v>
      </c>
      <c r="C17" s="325">
        <v>1.75</v>
      </c>
      <c r="D17" s="325">
        <v>4.3600000000000003</v>
      </c>
      <c r="E17" s="325">
        <v>5</v>
      </c>
      <c r="F17" s="325">
        <v>1.75</v>
      </c>
      <c r="G17" s="325">
        <v>4.3600000000000003</v>
      </c>
    </row>
    <row r="18" spans="1:7" s="9" customFormat="1" ht="13.35" customHeight="1">
      <c r="A18" s="493" t="s">
        <v>739</v>
      </c>
      <c r="B18" s="367">
        <v>5</v>
      </c>
      <c r="C18" s="367">
        <v>3</v>
      </c>
      <c r="D18" s="367">
        <v>4.54</v>
      </c>
      <c r="E18" s="367">
        <v>5</v>
      </c>
      <c r="F18" s="367">
        <v>3</v>
      </c>
      <c r="G18" s="367">
        <v>4.54</v>
      </c>
    </row>
    <row r="19" spans="1:7" s="211" customFormat="1" ht="13.35" customHeight="1">
      <c r="A19" s="479" t="s">
        <v>748</v>
      </c>
      <c r="B19" s="325">
        <v>5</v>
      </c>
      <c r="C19" s="325">
        <v>3.55</v>
      </c>
      <c r="D19" s="325">
        <v>4.57</v>
      </c>
      <c r="E19" s="325">
        <v>5</v>
      </c>
      <c r="F19" s="325">
        <v>3.55</v>
      </c>
      <c r="G19" s="325">
        <v>4.57</v>
      </c>
    </row>
    <row r="20" spans="1:7" s="211" customFormat="1" ht="13.35" customHeight="1">
      <c r="A20" s="493" t="s">
        <v>749</v>
      </c>
      <c r="B20" s="367">
        <v>5</v>
      </c>
      <c r="C20" s="367">
        <v>3.25</v>
      </c>
      <c r="D20" s="367">
        <v>4.54</v>
      </c>
      <c r="E20" s="367">
        <v>5</v>
      </c>
      <c r="F20" s="367">
        <v>3.25</v>
      </c>
      <c r="G20" s="367">
        <v>4.54</v>
      </c>
    </row>
    <row r="21" spans="1:7" s="211" customFormat="1" ht="13.35" customHeight="1">
      <c r="A21" s="479" t="s">
        <v>740</v>
      </c>
      <c r="B21" s="325">
        <v>5</v>
      </c>
      <c r="C21" s="325">
        <v>3.75</v>
      </c>
      <c r="D21" s="325">
        <v>4.55</v>
      </c>
      <c r="E21" s="325">
        <v>5</v>
      </c>
      <c r="F21" s="325">
        <v>3.75</v>
      </c>
      <c r="G21" s="325">
        <v>4.55</v>
      </c>
    </row>
    <row r="22" spans="1:7" s="211" customFormat="1" ht="13.35" customHeight="1">
      <c r="A22" s="493" t="s">
        <v>742</v>
      </c>
      <c r="B22" s="367">
        <v>5</v>
      </c>
      <c r="C22" s="367">
        <v>0.75</v>
      </c>
      <c r="D22" s="367">
        <v>3.46</v>
      </c>
      <c r="E22" s="367">
        <v>5</v>
      </c>
      <c r="F22" s="367">
        <v>0.75</v>
      </c>
      <c r="G22" s="367">
        <v>3.46</v>
      </c>
    </row>
    <row r="23" spans="1:7" s="211" customFormat="1" ht="13.35" customHeight="1">
      <c r="A23" s="479" t="s">
        <v>743</v>
      </c>
      <c r="B23" s="325">
        <v>5.5</v>
      </c>
      <c r="C23" s="325">
        <v>3.5</v>
      </c>
      <c r="D23" s="325">
        <v>4.6900000000000004</v>
      </c>
      <c r="E23" s="325">
        <v>5.5</v>
      </c>
      <c r="F23" s="325">
        <v>3.5</v>
      </c>
      <c r="G23" s="325">
        <v>4.6900000000000004</v>
      </c>
    </row>
    <row r="24" spans="1:7" s="211" customFormat="1" ht="13.35" customHeight="1">
      <c r="A24" s="493" t="s">
        <v>737</v>
      </c>
      <c r="B24" s="367">
        <v>5.5</v>
      </c>
      <c r="C24" s="367">
        <v>4</v>
      </c>
      <c r="D24" s="367">
        <v>5.04</v>
      </c>
      <c r="E24" s="367">
        <v>5.5</v>
      </c>
      <c r="F24" s="367">
        <v>4</v>
      </c>
      <c r="G24" s="367">
        <v>5.04</v>
      </c>
    </row>
    <row r="25" spans="1:7" s="211" customFormat="1" ht="13.35" customHeight="1">
      <c r="A25" s="479" t="s">
        <v>744</v>
      </c>
      <c r="B25" s="325">
        <v>5.5</v>
      </c>
      <c r="C25" s="325">
        <v>2</v>
      </c>
      <c r="D25" s="325">
        <v>4.6399999999999997</v>
      </c>
      <c r="E25" s="325">
        <v>5.5</v>
      </c>
      <c r="F25" s="325">
        <v>2</v>
      </c>
      <c r="G25" s="325">
        <v>4.6399999999999997</v>
      </c>
    </row>
    <row r="26" spans="1:7" s="211" customFormat="1" ht="13.35" customHeight="1">
      <c r="A26" s="493" t="s">
        <v>745</v>
      </c>
      <c r="B26" s="367">
        <v>5.5</v>
      </c>
      <c r="C26" s="367">
        <v>1.75</v>
      </c>
      <c r="D26" s="367">
        <v>4.12</v>
      </c>
      <c r="E26" s="367">
        <v>5.5</v>
      </c>
      <c r="F26" s="367">
        <v>1.75</v>
      </c>
      <c r="G26" s="367">
        <v>4.12</v>
      </c>
    </row>
    <row r="27" spans="1:7" s="211" customFormat="1" ht="13.35" customHeight="1">
      <c r="A27" s="479" t="s">
        <v>738</v>
      </c>
      <c r="B27" s="325">
        <v>5.5</v>
      </c>
      <c r="C27" s="325">
        <v>2.5</v>
      </c>
      <c r="D27" s="325">
        <v>4.5</v>
      </c>
      <c r="E27" s="325">
        <v>5.5</v>
      </c>
      <c r="F27" s="325">
        <v>2.5</v>
      </c>
      <c r="G27" s="325">
        <v>4.5</v>
      </c>
    </row>
    <row r="28" spans="1:7" s="211" customFormat="1" ht="13.35" customHeight="1">
      <c r="A28" s="1125">
        <v>2020</v>
      </c>
      <c r="B28" s="375">
        <f>MAX(B29:B40)</f>
        <v>5.5</v>
      </c>
      <c r="C28" s="375">
        <f>MIN(C29:C40)</f>
        <v>0.3</v>
      </c>
      <c r="D28" s="375">
        <f>AVERAGE(D29:D40)</f>
        <v>4.0091666666666663</v>
      </c>
      <c r="E28" s="375">
        <f>MAX(E29:E40)</f>
        <v>5.5</v>
      </c>
      <c r="F28" s="375">
        <f>MIN(F29:F40)</f>
        <v>0.3</v>
      </c>
      <c r="G28" s="375">
        <f>AVERAGE(G29:G40)</f>
        <v>4.0091666666666663</v>
      </c>
    </row>
    <row r="29" spans="1:7" s="211" customFormat="1" ht="13.35" customHeight="1">
      <c r="A29" s="479" t="s">
        <v>746</v>
      </c>
      <c r="B29" s="325">
        <v>5.5</v>
      </c>
      <c r="C29" s="325">
        <v>2.9</v>
      </c>
      <c r="D29" s="325">
        <v>4.84</v>
      </c>
      <c r="E29" s="325">
        <v>5.5</v>
      </c>
      <c r="F29" s="325">
        <v>2.9</v>
      </c>
      <c r="G29" s="325">
        <v>4.84</v>
      </c>
    </row>
    <row r="30" spans="1:7" s="211" customFormat="1" ht="13.35" customHeight="1">
      <c r="A30" s="493" t="s">
        <v>747</v>
      </c>
      <c r="B30" s="367">
        <v>5.5</v>
      </c>
      <c r="C30" s="367">
        <v>4.25</v>
      </c>
      <c r="D30" s="367">
        <v>5.0599999999999996</v>
      </c>
      <c r="E30" s="367">
        <v>5.5</v>
      </c>
      <c r="F30" s="367">
        <v>4.25</v>
      </c>
      <c r="G30" s="367">
        <v>5.0599999999999996</v>
      </c>
    </row>
    <row r="31" spans="1:7" s="211" customFormat="1" ht="13.35" customHeight="1">
      <c r="A31" s="479" t="s">
        <v>739</v>
      </c>
      <c r="B31" s="325">
        <v>5.5</v>
      </c>
      <c r="C31" s="325">
        <v>4.25</v>
      </c>
      <c r="D31" s="325">
        <v>5.14</v>
      </c>
      <c r="E31" s="325">
        <v>5.5</v>
      </c>
      <c r="F31" s="325">
        <v>4.25</v>
      </c>
      <c r="G31" s="325">
        <v>5.14</v>
      </c>
    </row>
    <row r="32" spans="1:7" s="211" customFormat="1" ht="13.35" customHeight="1">
      <c r="A32" s="493" t="s">
        <v>748</v>
      </c>
      <c r="B32" s="367">
        <v>5</v>
      </c>
      <c r="C32" s="367">
        <v>3</v>
      </c>
      <c r="D32" s="367">
        <v>4.8899999999999997</v>
      </c>
      <c r="E32" s="367">
        <v>5</v>
      </c>
      <c r="F32" s="367">
        <v>3</v>
      </c>
      <c r="G32" s="367">
        <v>4.8899999999999997</v>
      </c>
    </row>
    <row r="33" spans="1:7" s="211" customFormat="1" ht="13.35" customHeight="1">
      <c r="A33" s="479" t="s">
        <v>749</v>
      </c>
      <c r="B33" s="325">
        <v>5.5</v>
      </c>
      <c r="C33" s="325">
        <v>3.5</v>
      </c>
      <c r="D33" s="325">
        <v>4.97</v>
      </c>
      <c r="E33" s="325">
        <v>5.5</v>
      </c>
      <c r="F33" s="325">
        <v>3.5</v>
      </c>
      <c r="G33" s="325">
        <v>4.97</v>
      </c>
    </row>
    <row r="34" spans="1:7" s="211" customFormat="1" ht="13.35" customHeight="1">
      <c r="A34" s="493" t="s">
        <v>740</v>
      </c>
      <c r="B34" s="367">
        <v>5.5</v>
      </c>
      <c r="C34" s="367">
        <v>3.75</v>
      </c>
      <c r="D34" s="367">
        <v>5.01</v>
      </c>
      <c r="E34" s="367">
        <v>5.5</v>
      </c>
      <c r="F34" s="367">
        <v>3.75</v>
      </c>
      <c r="G34" s="367">
        <v>5.01</v>
      </c>
    </row>
    <row r="35" spans="1:7" s="211" customFormat="1" ht="13.35" customHeight="1">
      <c r="A35" s="479" t="s">
        <v>742</v>
      </c>
      <c r="B35" s="325">
        <v>5.5</v>
      </c>
      <c r="C35" s="325">
        <v>1</v>
      </c>
      <c r="D35" s="325">
        <v>4.2300000000000004</v>
      </c>
      <c r="E35" s="325">
        <v>5.5</v>
      </c>
      <c r="F35" s="325">
        <v>1</v>
      </c>
      <c r="G35" s="325">
        <v>4.2300000000000004</v>
      </c>
    </row>
    <row r="36" spans="1:7" s="211" customFormat="1" ht="13.35" customHeight="1">
      <c r="A36" s="493" t="s">
        <v>743</v>
      </c>
      <c r="B36" s="367">
        <v>5.5</v>
      </c>
      <c r="C36" s="367">
        <v>3</v>
      </c>
      <c r="D36" s="367">
        <v>4.7</v>
      </c>
      <c r="E36" s="367">
        <v>5.5</v>
      </c>
      <c r="F36" s="367">
        <v>3</v>
      </c>
      <c r="G36" s="367">
        <v>4.7</v>
      </c>
    </row>
    <row r="37" spans="1:7" s="211" customFormat="1" ht="13.35" customHeight="1">
      <c r="A37" s="479" t="s">
        <v>737</v>
      </c>
      <c r="B37" s="325">
        <v>5.25</v>
      </c>
      <c r="C37" s="325">
        <v>0.3</v>
      </c>
      <c r="D37" s="325">
        <v>2.87</v>
      </c>
      <c r="E37" s="325">
        <v>5.25</v>
      </c>
      <c r="F37" s="325">
        <v>0.3</v>
      </c>
      <c r="G37" s="325">
        <v>2.87</v>
      </c>
    </row>
    <row r="38" spans="1:7" s="211" customFormat="1" ht="13.35" customHeight="1">
      <c r="A38" s="493" t="s">
        <v>744</v>
      </c>
      <c r="B38" s="367">
        <v>5.25</v>
      </c>
      <c r="C38" s="367">
        <v>1</v>
      </c>
      <c r="D38" s="367">
        <v>2.61</v>
      </c>
      <c r="E38" s="367">
        <v>5.25</v>
      </c>
      <c r="F38" s="367">
        <v>1</v>
      </c>
      <c r="G38" s="367">
        <v>2.61</v>
      </c>
    </row>
    <row r="39" spans="1:7" s="211" customFormat="1" ht="13.35" customHeight="1">
      <c r="A39" s="479" t="s">
        <v>745</v>
      </c>
      <c r="B39" s="325">
        <v>5.25</v>
      </c>
      <c r="C39" s="325">
        <v>1</v>
      </c>
      <c r="D39" s="325">
        <v>2</v>
      </c>
      <c r="E39" s="325">
        <v>5.25</v>
      </c>
      <c r="F39" s="325">
        <v>1</v>
      </c>
      <c r="G39" s="325">
        <v>2</v>
      </c>
    </row>
    <row r="40" spans="1:7" s="211" customFormat="1" ht="13.35" customHeight="1">
      <c r="A40" s="493" t="s">
        <v>738</v>
      </c>
      <c r="B40" s="367">
        <v>5.25</v>
      </c>
      <c r="C40" s="367">
        <v>1</v>
      </c>
      <c r="D40" s="367">
        <v>1.79</v>
      </c>
      <c r="E40" s="367">
        <v>5.25</v>
      </c>
      <c r="F40" s="367">
        <v>1</v>
      </c>
      <c r="G40" s="367">
        <v>1.79</v>
      </c>
    </row>
    <row r="41" spans="1:7" s="211" customFormat="1" ht="13.35" customHeight="1">
      <c r="A41" s="1283">
        <v>2021</v>
      </c>
      <c r="B41" s="325"/>
      <c r="C41" s="325"/>
      <c r="D41" s="325"/>
      <c r="E41" s="325"/>
      <c r="F41" s="325"/>
      <c r="G41" s="325"/>
    </row>
    <row r="42" spans="1:7" s="211" customFormat="1" ht="13.35" customHeight="1">
      <c r="A42" s="493" t="s">
        <v>746</v>
      </c>
      <c r="B42" s="367">
        <v>5.25</v>
      </c>
      <c r="C42" s="367">
        <v>1</v>
      </c>
      <c r="D42" s="367">
        <v>1.78</v>
      </c>
      <c r="E42" s="367">
        <v>5.25</v>
      </c>
      <c r="F42" s="367">
        <v>1</v>
      </c>
      <c r="G42" s="367">
        <v>1.78</v>
      </c>
    </row>
    <row r="43" spans="1:7" s="211" customFormat="1" ht="13.35" customHeight="1">
      <c r="A43" s="479" t="s">
        <v>747</v>
      </c>
      <c r="B43" s="325">
        <v>5.25</v>
      </c>
      <c r="C43" s="325">
        <v>1</v>
      </c>
      <c r="D43" s="325">
        <v>1.67</v>
      </c>
      <c r="E43" s="325">
        <v>5.25</v>
      </c>
      <c r="F43" s="325">
        <v>1</v>
      </c>
      <c r="G43" s="325">
        <v>1.67</v>
      </c>
    </row>
    <row r="44" spans="1:7" s="211" customFormat="1" ht="13.35" customHeight="1">
      <c r="A44" s="493" t="s">
        <v>739</v>
      </c>
      <c r="B44" s="367">
        <v>5.25</v>
      </c>
      <c r="C44" s="367">
        <v>1</v>
      </c>
      <c r="D44" s="367">
        <v>1.82</v>
      </c>
      <c r="E44" s="367">
        <v>5.25</v>
      </c>
      <c r="F44" s="367">
        <v>1</v>
      </c>
      <c r="G44" s="367">
        <v>1.82</v>
      </c>
    </row>
    <row r="45" spans="1:7" s="211" customFormat="1" ht="13.35" customHeight="1">
      <c r="A45" s="479" t="s">
        <v>748</v>
      </c>
      <c r="B45" s="325">
        <v>5.25</v>
      </c>
      <c r="C45" s="325">
        <v>1</v>
      </c>
      <c r="D45" s="325">
        <v>1.68</v>
      </c>
      <c r="E45" s="325">
        <v>5.25</v>
      </c>
      <c r="F45" s="325">
        <v>1</v>
      </c>
      <c r="G45" s="325">
        <v>1.68</v>
      </c>
    </row>
    <row r="46" spans="1:7" s="211" customFormat="1" ht="13.35" customHeight="1">
      <c r="A46" s="493" t="s">
        <v>749</v>
      </c>
      <c r="B46" s="367">
        <v>5.25</v>
      </c>
      <c r="C46" s="367">
        <v>1</v>
      </c>
      <c r="D46" s="367">
        <v>2.08</v>
      </c>
      <c r="E46" s="367">
        <v>5.25</v>
      </c>
      <c r="F46" s="367">
        <v>1</v>
      </c>
      <c r="G46" s="367">
        <v>2.08</v>
      </c>
    </row>
    <row r="47" spans="1:7" s="211" customFormat="1" ht="13.35" customHeight="1" thickBot="1">
      <c r="A47" s="1563" t="s">
        <v>740</v>
      </c>
      <c r="B47" s="955">
        <v>5.25</v>
      </c>
      <c r="C47" s="955">
        <v>1</v>
      </c>
      <c r="D47" s="955">
        <v>2.25</v>
      </c>
      <c r="E47" s="955">
        <v>5.25</v>
      </c>
      <c r="F47" s="955">
        <v>1</v>
      </c>
      <c r="G47" s="955">
        <v>2.25</v>
      </c>
    </row>
    <row r="48" spans="1:7" ht="13.7" customHeight="1">
      <c r="A48" s="152" t="s">
        <v>544</v>
      </c>
      <c r="B48" s="928" t="s">
        <v>1651</v>
      </c>
      <c r="C48" s="928"/>
      <c r="D48" s="928"/>
      <c r="E48" s="928"/>
      <c r="F48" s="81"/>
      <c r="G48" s="9"/>
    </row>
    <row r="51" spans="3:3">
      <c r="C51" s="105"/>
    </row>
  </sheetData>
  <mergeCells count="7">
    <mergeCell ref="B1:E1"/>
    <mergeCell ref="F1:G1"/>
    <mergeCell ref="A2:E2"/>
    <mergeCell ref="F2:G2"/>
    <mergeCell ref="A3:A4"/>
    <mergeCell ref="B3:D3"/>
    <mergeCell ref="E3:G3"/>
  </mergeCells>
  <phoneticPr fontId="43" type="noConversion"/>
  <pageMargins left="0.62992125984252001" right="0.511811023622047" top="0.39370078740157499" bottom="0.118110236220472" header="0.25" footer="0"/>
  <pageSetup paperSize="448" firstPageNumber="78" orientation="portrait" useFirstPageNumber="1" r:id="rId1"/>
  <headerFooter alignWithMargins="0">
    <oddFooter>&amp;C&amp;"Times New Roman,Regular"&amp;8 78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CG111"/>
  <sheetViews>
    <sheetView topLeftCell="BQ1" zoomScale="154" zoomScaleNormal="154" zoomScaleSheetLayoutView="70" workbookViewId="0">
      <pane ySplit="6" topLeftCell="A52" activePane="bottomLeft" state="frozen"/>
      <selection activeCell="H48" sqref="H48"/>
      <selection pane="bottomLeft" activeCell="CF56" sqref="CF56"/>
    </sheetView>
  </sheetViews>
  <sheetFormatPr defaultColWidth="9.140625" defaultRowHeight="11.25"/>
  <cols>
    <col min="1" max="7" width="8.85546875" style="8" customWidth="1"/>
    <col min="8" max="8" width="8.7109375" style="8" customWidth="1"/>
    <col min="9" max="9" width="9.28515625" style="8" customWidth="1"/>
    <col min="10" max="10" width="9" style="8" customWidth="1"/>
    <col min="11" max="11" width="9.5703125" style="8" customWidth="1"/>
    <col min="12" max="13" width="8.5703125" style="8" customWidth="1"/>
    <col min="14" max="14" width="8.85546875" style="8" customWidth="1"/>
    <col min="15" max="15" width="7.85546875" style="8" customWidth="1"/>
    <col min="16" max="16" width="8.42578125" style="8" customWidth="1"/>
    <col min="17" max="17" width="8" style="8" customWidth="1"/>
    <col min="18" max="19" width="9.42578125" style="8" customWidth="1"/>
    <col min="20" max="20" width="9" style="8" customWidth="1"/>
    <col min="21" max="22" width="9.140625" style="8" customWidth="1"/>
    <col min="23" max="23" width="9.7109375" style="8" customWidth="1"/>
    <col min="24" max="24" width="9.85546875" style="8" customWidth="1"/>
    <col min="25" max="25" width="9.140625" style="8"/>
    <col min="26" max="26" width="8.85546875" style="8" customWidth="1"/>
    <col min="27" max="27" width="6.85546875" style="8" customWidth="1"/>
    <col min="28" max="28" width="7.7109375" style="8" customWidth="1"/>
    <col min="29" max="29" width="8.5703125" style="8" customWidth="1"/>
    <col min="30" max="30" width="10.28515625" style="8" customWidth="1"/>
    <col min="31" max="31" width="8.7109375" style="8" customWidth="1"/>
    <col min="32" max="32" width="8.5703125" style="8" customWidth="1"/>
    <col min="33" max="33" width="9" style="8" customWidth="1"/>
    <col min="34" max="34" width="9.28515625" style="8" customWidth="1"/>
    <col min="35" max="35" width="8.85546875" style="8" customWidth="1"/>
    <col min="36" max="36" width="9" style="8" customWidth="1"/>
    <col min="37" max="37" width="8.5703125" style="8" customWidth="1"/>
    <col min="38" max="38" width="11.42578125" style="8" customWidth="1"/>
    <col min="39" max="39" width="9.5703125" style="8" customWidth="1"/>
    <col min="40" max="40" width="9.28515625" style="8" customWidth="1"/>
    <col min="41" max="41" width="10.140625" style="8" customWidth="1"/>
    <col min="42" max="42" width="11" style="8" customWidth="1"/>
    <col min="43" max="43" width="9" style="8" customWidth="1"/>
    <col min="44" max="44" width="9.28515625" style="8" bestFit="1" customWidth="1"/>
    <col min="45" max="45" width="10.28515625" style="8" customWidth="1"/>
    <col min="46" max="46" width="9.28515625" style="8" customWidth="1"/>
    <col min="47" max="47" width="9.5703125" style="8" customWidth="1"/>
    <col min="48" max="48" width="10" style="8" customWidth="1"/>
    <col min="49" max="50" width="10.5703125" style="8" customWidth="1"/>
    <col min="51" max="51" width="8.28515625" style="8" customWidth="1"/>
    <col min="52" max="52" width="7.85546875" style="8" customWidth="1"/>
    <col min="53" max="53" width="7.28515625" style="8" customWidth="1"/>
    <col min="54" max="54" width="8.28515625" style="8" customWidth="1"/>
    <col min="55" max="55" width="7.42578125" style="8" customWidth="1"/>
    <col min="56" max="56" width="7.7109375" style="8" customWidth="1"/>
    <col min="57" max="57" width="7.42578125" style="8" customWidth="1"/>
    <col min="58" max="58" width="7.28515625" style="8" customWidth="1"/>
    <col min="59" max="59" width="8" style="8" customWidth="1"/>
    <col min="60" max="60" width="8.42578125" style="8" customWidth="1"/>
    <col min="61" max="61" width="8.7109375" style="8" customWidth="1"/>
    <col min="62" max="62" width="6.28515625" style="8" customWidth="1"/>
    <col min="63" max="64" width="6" style="8" customWidth="1"/>
    <col min="65" max="65" width="7.28515625" style="8" customWidth="1"/>
    <col min="66" max="66" width="5.85546875" style="8" customWidth="1"/>
    <col min="67" max="67" width="6.5703125" style="8" customWidth="1"/>
    <col min="68" max="68" width="8.85546875" style="8" customWidth="1"/>
    <col min="69" max="69" width="8.5703125" style="8" customWidth="1"/>
    <col min="70" max="70" width="7.85546875" style="8" customWidth="1"/>
    <col min="71" max="71" width="7.140625" style="8" customWidth="1"/>
    <col min="72" max="72" width="6.7109375" style="8" customWidth="1"/>
    <col min="73" max="73" width="6.28515625" style="8" customWidth="1"/>
    <col min="74" max="74" width="6.5703125" style="8" customWidth="1"/>
    <col min="75" max="75" width="8" style="8" customWidth="1"/>
    <col min="76" max="76" width="5.140625" style="8" customWidth="1"/>
    <col min="77" max="77" width="6.5703125" style="8" customWidth="1"/>
    <col min="78" max="78" width="7.7109375" style="8" customWidth="1"/>
    <col min="79" max="79" width="6.5703125" style="8" customWidth="1"/>
    <col min="80" max="80" width="6.7109375" style="8" customWidth="1"/>
    <col min="81" max="81" width="7.42578125" style="8" customWidth="1"/>
    <col min="82" max="82" width="7.140625" style="8" customWidth="1"/>
    <col min="83" max="16384" width="9.140625" style="8"/>
  </cols>
  <sheetData>
    <row r="1" spans="3:84" s="42" customFormat="1" ht="13.5" customHeight="1">
      <c r="I1" s="1764" t="s">
        <v>148</v>
      </c>
      <c r="J1" s="1764"/>
      <c r="K1" s="1764"/>
      <c r="L1" s="1764"/>
      <c r="M1" s="1764"/>
      <c r="N1" s="1764"/>
      <c r="O1" s="1764"/>
      <c r="P1" s="1764"/>
      <c r="Q1" s="1764"/>
      <c r="R1" s="273" t="s">
        <v>149</v>
      </c>
      <c r="W1" s="1758" t="s">
        <v>2147</v>
      </c>
      <c r="X1" s="1758"/>
      <c r="Y1" s="1758"/>
      <c r="Z1" s="1526"/>
      <c r="AE1" s="1762" t="s">
        <v>148</v>
      </c>
      <c r="AF1" s="1762"/>
      <c r="AG1" s="1762"/>
      <c r="AH1" s="1762"/>
      <c r="AI1" s="1769" t="s">
        <v>452</v>
      </c>
      <c r="AJ1" s="1712"/>
      <c r="AN1" s="1758" t="s">
        <v>453</v>
      </c>
      <c r="AO1" s="1758"/>
      <c r="AP1" s="1758"/>
      <c r="AQ1" s="274"/>
      <c r="AR1" s="275"/>
      <c r="AS1" s="275"/>
      <c r="AT1" s="275"/>
      <c r="AU1" s="275"/>
      <c r="AV1" s="1738" t="s">
        <v>148</v>
      </c>
      <c r="AW1" s="1738"/>
      <c r="AX1" s="1738"/>
      <c r="AY1" s="1737" t="s">
        <v>452</v>
      </c>
      <c r="AZ1" s="1737"/>
      <c r="BA1" s="1737"/>
      <c r="BB1" s="1737"/>
      <c r="BC1" s="1737"/>
      <c r="BD1" s="1737"/>
      <c r="BE1" s="1737"/>
      <c r="BF1" s="1758" t="s">
        <v>453</v>
      </c>
      <c r="BG1" s="1758"/>
      <c r="BH1" s="1758"/>
      <c r="BJ1" s="1526"/>
      <c r="BK1" s="1526"/>
      <c r="BL1" s="1526"/>
      <c r="BM1" s="1526"/>
      <c r="BN1" s="1526"/>
      <c r="BO1" s="1526"/>
      <c r="BP1" s="1738" t="s">
        <v>148</v>
      </c>
      <c r="BQ1" s="1738"/>
      <c r="BR1" s="1738"/>
      <c r="BS1" s="1738"/>
      <c r="BT1" s="1737" t="s">
        <v>452</v>
      </c>
      <c r="BU1" s="1737"/>
      <c r="BV1" s="1737"/>
      <c r="BW1" s="160"/>
      <c r="BX1" s="160"/>
      <c r="CA1" s="160"/>
      <c r="CB1" s="1735" t="s">
        <v>755</v>
      </c>
      <c r="CC1" s="1735"/>
      <c r="CD1" s="1735"/>
    </row>
    <row r="2" spans="3:84" s="49" customFormat="1" ht="11.25" customHeight="1">
      <c r="I2" s="276"/>
      <c r="J2" s="276"/>
      <c r="K2" s="276"/>
      <c r="L2" s="276"/>
      <c r="M2" s="276"/>
      <c r="N2" s="276"/>
      <c r="O2" s="276"/>
      <c r="P2" s="1755" t="s">
        <v>1706</v>
      </c>
      <c r="Q2" s="1755"/>
      <c r="R2" s="49" t="s">
        <v>451</v>
      </c>
      <c r="X2" s="1763" t="s">
        <v>2148</v>
      </c>
      <c r="Y2" s="1763"/>
      <c r="Z2" s="1540"/>
      <c r="AF2" s="1540"/>
      <c r="AG2" s="1756" t="s">
        <v>1706</v>
      </c>
      <c r="AH2" s="1756"/>
      <c r="AI2" s="49" t="s">
        <v>451</v>
      </c>
      <c r="AN2" s="1540"/>
      <c r="AO2" s="1756" t="s">
        <v>25</v>
      </c>
      <c r="AP2" s="1757"/>
      <c r="AQ2" s="277"/>
      <c r="AR2" s="277"/>
      <c r="AS2" s="277"/>
      <c r="AT2" s="277"/>
      <c r="AU2" s="277"/>
      <c r="AV2" s="277"/>
      <c r="AW2" s="1755" t="s">
        <v>1707</v>
      </c>
      <c r="AX2" s="1755"/>
      <c r="AY2" s="1527" t="s">
        <v>451</v>
      </c>
      <c r="AZ2" s="1540"/>
      <c r="BA2" s="1540"/>
      <c r="BB2" s="1540"/>
      <c r="BC2" s="1540"/>
      <c r="BD2" s="1540"/>
      <c r="BE2" s="1540"/>
      <c r="BF2" s="1540"/>
      <c r="BG2" s="1756" t="s">
        <v>25</v>
      </c>
      <c r="BH2" s="1757"/>
      <c r="BJ2" s="1540"/>
      <c r="BK2" s="1540"/>
      <c r="BL2" s="1540"/>
      <c r="BM2" s="1540"/>
      <c r="BN2" s="1540"/>
      <c r="BO2" s="1540"/>
      <c r="BP2" s="277"/>
      <c r="BR2" s="1736" t="s">
        <v>1708</v>
      </c>
      <c r="BS2" s="1736"/>
      <c r="BT2" s="1739" t="s">
        <v>451</v>
      </c>
      <c r="BU2" s="1739"/>
      <c r="BV2" s="1540"/>
      <c r="BW2" s="1540"/>
      <c r="BX2" s="1540"/>
      <c r="CA2" s="611"/>
      <c r="CB2" s="130"/>
      <c r="CC2" s="1736" t="s">
        <v>25</v>
      </c>
      <c r="CD2" s="1736"/>
    </row>
    <row r="3" spans="3:84" s="291" customFormat="1" ht="24.75" customHeight="1">
      <c r="I3" s="1722" t="s">
        <v>1798</v>
      </c>
      <c r="J3" s="1725" t="s">
        <v>141</v>
      </c>
      <c r="K3" s="1726"/>
      <c r="L3" s="1727"/>
      <c r="M3" s="1720" t="s">
        <v>204</v>
      </c>
      <c r="N3" s="1720" t="s">
        <v>1273</v>
      </c>
      <c r="O3" s="1732" t="s">
        <v>835</v>
      </c>
      <c r="P3" s="1733"/>
      <c r="Q3" s="1734"/>
      <c r="R3" s="1728" t="s">
        <v>205</v>
      </c>
      <c r="S3" s="1728"/>
      <c r="T3" s="1729"/>
      <c r="U3" s="1773" t="s">
        <v>552</v>
      </c>
      <c r="V3" s="1725" t="s">
        <v>145</v>
      </c>
      <c r="W3" s="1726"/>
      <c r="X3" s="1726"/>
      <c r="Y3" s="1727"/>
      <c r="Z3" s="1765" t="s">
        <v>1274</v>
      </c>
      <c r="AA3" s="1753" t="s">
        <v>553</v>
      </c>
      <c r="AB3" s="1753"/>
      <c r="AC3" s="1753"/>
      <c r="AD3" s="1753"/>
      <c r="AE3" s="1748" t="s">
        <v>1665</v>
      </c>
      <c r="AF3" s="1748"/>
      <c r="AG3" s="1748"/>
      <c r="AH3" s="1748"/>
      <c r="AI3" s="1753" t="s">
        <v>554</v>
      </c>
      <c r="AJ3" s="1753"/>
      <c r="AK3" s="1753"/>
      <c r="AL3" s="1753"/>
      <c r="AM3" s="1748" t="s">
        <v>1287</v>
      </c>
      <c r="AN3" s="1748"/>
      <c r="AO3" s="1748"/>
      <c r="AP3" s="1748"/>
      <c r="AQ3" s="1759" t="s">
        <v>1274</v>
      </c>
      <c r="AR3" s="1753" t="s">
        <v>23</v>
      </c>
      <c r="AS3" s="1753"/>
      <c r="AT3" s="1753"/>
      <c r="AU3" s="1753"/>
      <c r="AV3" s="1753" t="s">
        <v>179</v>
      </c>
      <c r="AW3" s="1753"/>
      <c r="AX3" s="1753"/>
      <c r="AY3" s="1753" t="s">
        <v>1762</v>
      </c>
      <c r="AZ3" s="1753"/>
      <c r="BA3" s="1753"/>
      <c r="BB3" s="1715" t="s">
        <v>415</v>
      </c>
      <c r="BC3" s="1715" t="s">
        <v>1010</v>
      </c>
      <c r="BD3" s="1748" t="s">
        <v>879</v>
      </c>
      <c r="BE3" s="1748"/>
      <c r="BF3" s="1748"/>
      <c r="BG3" s="1748"/>
      <c r="BH3" s="1748"/>
      <c r="BI3" s="1722" t="s">
        <v>1274</v>
      </c>
      <c r="BJ3" s="1748" t="s">
        <v>153</v>
      </c>
      <c r="BK3" s="1748"/>
      <c r="BL3" s="1748"/>
      <c r="BM3" s="1749"/>
      <c r="BN3" s="1748"/>
      <c r="BO3" s="1715" t="s">
        <v>154</v>
      </c>
      <c r="BP3" s="1742" t="s">
        <v>837</v>
      </c>
      <c r="BQ3" s="1742"/>
      <c r="BR3" s="1715" t="s">
        <v>213</v>
      </c>
      <c r="BS3" s="1743" t="s">
        <v>1343</v>
      </c>
      <c r="BT3" s="1748" t="s">
        <v>221</v>
      </c>
      <c r="BU3" s="1748"/>
      <c r="BV3" s="1748"/>
      <c r="BW3" s="1748"/>
      <c r="BX3" s="1748"/>
      <c r="BY3" s="1748"/>
      <c r="BZ3" s="1748"/>
      <c r="CA3" s="1748"/>
      <c r="CB3" s="1748"/>
      <c r="CC3" s="1748"/>
      <c r="CD3" s="1748"/>
    </row>
    <row r="4" spans="3:84" s="291" customFormat="1" ht="27" customHeight="1">
      <c r="I4" s="1723"/>
      <c r="J4" s="1715" t="s">
        <v>1748</v>
      </c>
      <c r="K4" s="1715" t="s">
        <v>1631</v>
      </c>
      <c r="L4" s="1720" t="s">
        <v>1230</v>
      </c>
      <c r="M4" s="1766"/>
      <c r="N4" s="1767"/>
      <c r="O4" s="1720" t="s">
        <v>1275</v>
      </c>
      <c r="P4" s="1720" t="s">
        <v>219</v>
      </c>
      <c r="Q4" s="1524" t="s">
        <v>142</v>
      </c>
      <c r="R4" s="1730" t="s">
        <v>672</v>
      </c>
      <c r="S4" s="1731"/>
      <c r="T4" s="1772" t="s">
        <v>1030</v>
      </c>
      <c r="U4" s="1774"/>
      <c r="V4" s="1720" t="s">
        <v>2493</v>
      </c>
      <c r="W4" s="1715" t="s">
        <v>1780</v>
      </c>
      <c r="X4" s="1770" t="s">
        <v>2145</v>
      </c>
      <c r="Y4" s="1715" t="s">
        <v>2146</v>
      </c>
      <c r="Z4" s="1765"/>
      <c r="AA4" s="1715" t="s">
        <v>220</v>
      </c>
      <c r="AB4" s="1715" t="s">
        <v>207</v>
      </c>
      <c r="AC4" s="1715" t="s">
        <v>206</v>
      </c>
      <c r="AD4" s="1715" t="s">
        <v>874</v>
      </c>
      <c r="AE4" s="1715" t="s">
        <v>1278</v>
      </c>
      <c r="AF4" s="1715" t="s">
        <v>208</v>
      </c>
      <c r="AG4" s="1715" t="s">
        <v>1279</v>
      </c>
      <c r="AH4" s="1715" t="s">
        <v>875</v>
      </c>
      <c r="AI4" s="1715" t="s">
        <v>1280</v>
      </c>
      <c r="AJ4" s="1715" t="s">
        <v>1281</v>
      </c>
      <c r="AK4" s="1715" t="s">
        <v>1282</v>
      </c>
      <c r="AL4" s="1715" t="s">
        <v>876</v>
      </c>
      <c r="AM4" s="1715" t="s">
        <v>877</v>
      </c>
      <c r="AN4" s="1743" t="s">
        <v>2654</v>
      </c>
      <c r="AO4" s="1715" t="s">
        <v>1283</v>
      </c>
      <c r="AP4" s="1715" t="s">
        <v>1028</v>
      </c>
      <c r="AQ4" s="1760"/>
      <c r="AR4" s="1715" t="s">
        <v>1284</v>
      </c>
      <c r="AS4" s="1715" t="s">
        <v>1285</v>
      </c>
      <c r="AT4" s="1715" t="s">
        <v>1288</v>
      </c>
      <c r="AU4" s="1715" t="s">
        <v>1286</v>
      </c>
      <c r="AV4" s="1715" t="s">
        <v>24</v>
      </c>
      <c r="AW4" s="1715" t="s">
        <v>1380</v>
      </c>
      <c r="AX4" s="1715" t="s">
        <v>878</v>
      </c>
      <c r="AY4" s="1715" t="s">
        <v>210</v>
      </c>
      <c r="AZ4" s="1715" t="s">
        <v>1767</v>
      </c>
      <c r="BA4" s="1752" t="s">
        <v>659</v>
      </c>
      <c r="BB4" s="1715"/>
      <c r="BC4" s="1715"/>
      <c r="BD4" s="1752" t="s">
        <v>150</v>
      </c>
      <c r="BE4" s="1752"/>
      <c r="BF4" s="1752" t="s">
        <v>151</v>
      </c>
      <c r="BG4" s="1752"/>
      <c r="BH4" s="1715" t="s">
        <v>1765</v>
      </c>
      <c r="BI4" s="1723"/>
      <c r="BJ4" s="1715" t="s">
        <v>156</v>
      </c>
      <c r="BK4" s="1715" t="s">
        <v>157</v>
      </c>
      <c r="BL4" s="1714" t="s">
        <v>212</v>
      </c>
      <c r="BM4" s="1750" t="s">
        <v>163</v>
      </c>
      <c r="BN4" s="1720" t="s">
        <v>1781</v>
      </c>
      <c r="BO4" s="1715"/>
      <c r="BP4" s="1715" t="s">
        <v>158</v>
      </c>
      <c r="BQ4" s="1743" t="s">
        <v>1342</v>
      </c>
      <c r="BR4" s="1715"/>
      <c r="BS4" s="1743"/>
      <c r="BT4" s="1740" t="s">
        <v>1054</v>
      </c>
      <c r="BU4" s="1740" t="s">
        <v>214</v>
      </c>
      <c r="BV4" s="1740" t="s">
        <v>1029</v>
      </c>
      <c r="BW4" s="1747" t="s">
        <v>1344</v>
      </c>
      <c r="BX4" s="1721" t="s">
        <v>159</v>
      </c>
      <c r="BY4" s="1744" t="s">
        <v>2652</v>
      </c>
      <c r="BZ4" s="1745"/>
      <c r="CA4" s="1746"/>
      <c r="CB4" s="1744" t="s">
        <v>1607</v>
      </c>
      <c r="CC4" s="1745"/>
      <c r="CD4" s="1746"/>
    </row>
    <row r="5" spans="3:84" s="291" customFormat="1" ht="45.6" customHeight="1">
      <c r="H5" s="221"/>
      <c r="I5" s="1723"/>
      <c r="J5" s="1715"/>
      <c r="K5" s="1715"/>
      <c r="L5" s="1721"/>
      <c r="M5" s="1721"/>
      <c r="N5" s="1768"/>
      <c r="O5" s="1721"/>
      <c r="P5" s="1721"/>
      <c r="Q5" s="1523" t="s">
        <v>754</v>
      </c>
      <c r="R5" s="1523" t="s">
        <v>1276</v>
      </c>
      <c r="S5" s="1523" t="s">
        <v>1277</v>
      </c>
      <c r="T5" s="1715"/>
      <c r="U5" s="1774"/>
      <c r="V5" s="1721"/>
      <c r="W5" s="1715"/>
      <c r="X5" s="1771"/>
      <c r="Y5" s="1715"/>
      <c r="Z5" s="1765"/>
      <c r="AA5" s="1715"/>
      <c r="AB5" s="1715"/>
      <c r="AC5" s="1715"/>
      <c r="AD5" s="1715"/>
      <c r="AE5" s="1715"/>
      <c r="AF5" s="1715"/>
      <c r="AG5" s="1715"/>
      <c r="AH5" s="1715"/>
      <c r="AI5" s="1715"/>
      <c r="AJ5" s="1715"/>
      <c r="AK5" s="1715"/>
      <c r="AL5" s="1715"/>
      <c r="AM5" s="1715"/>
      <c r="AN5" s="1743"/>
      <c r="AO5" s="1715"/>
      <c r="AP5" s="1715"/>
      <c r="AQ5" s="1760"/>
      <c r="AR5" s="1715"/>
      <c r="AS5" s="1715"/>
      <c r="AT5" s="1715"/>
      <c r="AU5" s="1715"/>
      <c r="AV5" s="1715"/>
      <c r="AW5" s="1715"/>
      <c r="AX5" s="1715"/>
      <c r="AY5" s="1715"/>
      <c r="AZ5" s="1715"/>
      <c r="BA5" s="1752"/>
      <c r="BB5" s="1715"/>
      <c r="BC5" s="1715"/>
      <c r="BD5" s="1525" t="s">
        <v>1766</v>
      </c>
      <c r="BE5" s="1522" t="s">
        <v>211</v>
      </c>
      <c r="BF5" s="1525" t="s">
        <v>152</v>
      </c>
      <c r="BG5" s="1522" t="s">
        <v>211</v>
      </c>
      <c r="BH5" s="1715"/>
      <c r="BI5" s="1723"/>
      <c r="BJ5" s="1715"/>
      <c r="BK5" s="1715"/>
      <c r="BL5" s="1714"/>
      <c r="BM5" s="1751"/>
      <c r="BN5" s="1721"/>
      <c r="BO5" s="1715"/>
      <c r="BP5" s="1715"/>
      <c r="BQ5" s="1743"/>
      <c r="BR5" s="1715"/>
      <c r="BS5" s="1743"/>
      <c r="BT5" s="1741"/>
      <c r="BU5" s="1741"/>
      <c r="BV5" s="1741"/>
      <c r="BW5" s="1740"/>
      <c r="BX5" s="1715"/>
      <c r="BY5" s="1528" t="s">
        <v>160</v>
      </c>
      <c r="BZ5" s="1529" t="s">
        <v>161</v>
      </c>
      <c r="CA5" s="1529" t="s">
        <v>1567</v>
      </c>
      <c r="CB5" s="1529" t="s">
        <v>160</v>
      </c>
      <c r="CC5" s="1529" t="s">
        <v>161</v>
      </c>
      <c r="CD5" s="1529" t="s">
        <v>1568</v>
      </c>
    </row>
    <row r="6" spans="3:84" s="171" customFormat="1" ht="13.5" customHeight="1">
      <c r="I6" s="1724"/>
      <c r="J6" s="170">
        <v>1</v>
      </c>
      <c r="K6" s="170">
        <v>2</v>
      </c>
      <c r="L6" s="170">
        <v>3</v>
      </c>
      <c r="M6" s="170">
        <v>4</v>
      </c>
      <c r="N6" s="170">
        <v>5</v>
      </c>
      <c r="O6" s="170">
        <v>6</v>
      </c>
      <c r="P6" s="170">
        <v>7</v>
      </c>
      <c r="Q6" s="170">
        <v>8</v>
      </c>
      <c r="R6" s="170">
        <v>9</v>
      </c>
      <c r="S6" s="170">
        <v>10</v>
      </c>
      <c r="T6" s="170">
        <v>11</v>
      </c>
      <c r="U6" s="170">
        <v>12</v>
      </c>
      <c r="V6" s="170">
        <v>13</v>
      </c>
      <c r="W6" s="170">
        <v>14</v>
      </c>
      <c r="X6" s="170">
        <v>15</v>
      </c>
      <c r="Y6" s="170">
        <v>16</v>
      </c>
      <c r="Z6" s="1765"/>
      <c r="AA6" s="170">
        <v>17</v>
      </c>
      <c r="AB6" s="170">
        <v>18</v>
      </c>
      <c r="AC6" s="170">
        <v>19</v>
      </c>
      <c r="AD6" s="170">
        <v>20</v>
      </c>
      <c r="AE6" s="170">
        <v>21</v>
      </c>
      <c r="AF6" s="170">
        <v>22</v>
      </c>
      <c r="AG6" s="170">
        <v>23</v>
      </c>
      <c r="AH6" s="170">
        <v>24</v>
      </c>
      <c r="AI6" s="170">
        <v>25</v>
      </c>
      <c r="AJ6" s="170">
        <v>26</v>
      </c>
      <c r="AK6" s="170">
        <v>27</v>
      </c>
      <c r="AL6" s="170">
        <v>28</v>
      </c>
      <c r="AM6" s="170">
        <v>29</v>
      </c>
      <c r="AN6" s="170">
        <v>30</v>
      </c>
      <c r="AO6" s="170">
        <v>31</v>
      </c>
      <c r="AP6" s="170">
        <v>32</v>
      </c>
      <c r="AQ6" s="1761"/>
      <c r="AR6" s="170">
        <v>33</v>
      </c>
      <c r="AS6" s="170">
        <v>34</v>
      </c>
      <c r="AT6" s="170">
        <v>35</v>
      </c>
      <c r="AU6" s="170">
        <v>36</v>
      </c>
      <c r="AV6" s="170">
        <v>37</v>
      </c>
      <c r="AW6" s="170">
        <v>38</v>
      </c>
      <c r="AX6" s="170">
        <v>39</v>
      </c>
      <c r="AY6" s="170">
        <v>40</v>
      </c>
      <c r="AZ6" s="170">
        <v>41</v>
      </c>
      <c r="BA6" s="170">
        <v>42</v>
      </c>
      <c r="BB6" s="170">
        <v>43</v>
      </c>
      <c r="BC6" s="170">
        <v>44</v>
      </c>
      <c r="BD6" s="170">
        <v>45</v>
      </c>
      <c r="BE6" s="170">
        <v>46</v>
      </c>
      <c r="BF6" s="170">
        <v>47</v>
      </c>
      <c r="BG6" s="170">
        <v>48</v>
      </c>
      <c r="BH6" s="170">
        <v>49</v>
      </c>
      <c r="BI6" s="1724"/>
      <c r="BJ6" s="1537">
        <v>50</v>
      </c>
      <c r="BK6" s="1537">
        <v>51</v>
      </c>
      <c r="BL6" s="1537">
        <v>52</v>
      </c>
      <c r="BM6" s="1537">
        <v>53</v>
      </c>
      <c r="BN6" s="1537">
        <v>54</v>
      </c>
      <c r="BO6" s="1537">
        <v>55</v>
      </c>
      <c r="BP6" s="1537">
        <v>56</v>
      </c>
      <c r="BQ6" s="1537">
        <v>57</v>
      </c>
      <c r="BR6" s="1537">
        <v>58</v>
      </c>
      <c r="BS6" s="1537">
        <v>59</v>
      </c>
      <c r="BT6" s="1537">
        <v>60</v>
      </c>
      <c r="BU6" s="1537">
        <v>61</v>
      </c>
      <c r="BV6" s="1537">
        <v>62</v>
      </c>
      <c r="BW6" s="1537">
        <v>63</v>
      </c>
      <c r="BX6" s="1537">
        <v>64</v>
      </c>
      <c r="BY6" s="1537">
        <v>65</v>
      </c>
      <c r="BZ6" s="1537">
        <v>66</v>
      </c>
      <c r="CA6" s="170">
        <v>67</v>
      </c>
      <c r="CB6" s="1537">
        <v>68</v>
      </c>
      <c r="CC6" s="170">
        <v>69</v>
      </c>
      <c r="CD6" s="1537">
        <v>70</v>
      </c>
    </row>
    <row r="7" spans="3:84" s="34" customFormat="1" ht="10.5" customHeight="1">
      <c r="I7" s="299" t="s">
        <v>83</v>
      </c>
      <c r="J7" s="30">
        <v>49947.3</v>
      </c>
      <c r="K7" s="1324">
        <v>518.1</v>
      </c>
      <c r="L7" s="33">
        <v>50465.4</v>
      </c>
      <c r="M7" s="1324">
        <v>4308.3</v>
      </c>
      <c r="N7" s="33">
        <v>46157.1</v>
      </c>
      <c r="O7" s="30">
        <v>7971.5</v>
      </c>
      <c r="P7" s="1324">
        <v>20181.099999999999</v>
      </c>
      <c r="Q7" s="1324">
        <v>41621.800000000003</v>
      </c>
      <c r="R7" s="30">
        <v>275042.8</v>
      </c>
      <c r="S7" s="1324">
        <v>316664.59999999998</v>
      </c>
      <c r="T7" s="30">
        <v>336845.69999999995</v>
      </c>
      <c r="U7" s="1324">
        <v>209.4</v>
      </c>
      <c r="V7" s="1324">
        <v>74142.799999999988</v>
      </c>
      <c r="W7" s="30">
        <v>87988.299999999988</v>
      </c>
      <c r="X7" s="30">
        <v>363031.1</v>
      </c>
      <c r="Y7" s="1324">
        <v>429337.2</v>
      </c>
      <c r="Z7" s="299" t="s">
        <v>83</v>
      </c>
      <c r="AA7" s="33">
        <v>0</v>
      </c>
      <c r="AB7" s="30">
        <v>10726.3</v>
      </c>
      <c r="AC7" s="1324">
        <v>253455.9</v>
      </c>
      <c r="AD7" s="1324">
        <v>264182.2</v>
      </c>
      <c r="AE7" s="33">
        <v>0</v>
      </c>
      <c r="AF7" s="30">
        <v>3865.2</v>
      </c>
      <c r="AG7" s="1324">
        <v>10202.4</v>
      </c>
      <c r="AH7" s="1324">
        <v>14067.599999999999</v>
      </c>
      <c r="AI7" s="1324">
        <v>2127.4</v>
      </c>
      <c r="AJ7" s="1324">
        <v>51891.3</v>
      </c>
      <c r="AK7" s="30">
        <v>4513.7</v>
      </c>
      <c r="AL7" s="30">
        <v>56405</v>
      </c>
      <c r="AM7" s="30">
        <v>2127.4</v>
      </c>
      <c r="AN7" s="1324">
        <v>66482.8</v>
      </c>
      <c r="AO7" s="30">
        <v>268172</v>
      </c>
      <c r="AP7" s="30">
        <v>334654.8</v>
      </c>
      <c r="AQ7" s="299" t="s">
        <v>83</v>
      </c>
      <c r="AR7" s="1324">
        <v>1749.5</v>
      </c>
      <c r="AS7" s="30">
        <v>5852.1</v>
      </c>
      <c r="AT7" s="1324">
        <v>5087.3</v>
      </c>
      <c r="AU7" s="1324">
        <v>1561.7</v>
      </c>
      <c r="AV7" s="1324">
        <v>336869.7</v>
      </c>
      <c r="AW7" s="1324">
        <v>3885.6</v>
      </c>
      <c r="AX7" s="1324">
        <v>340755.3</v>
      </c>
      <c r="AY7" s="30">
        <f>AX7*0.055</f>
        <v>18741.541499999999</v>
      </c>
      <c r="AZ7" s="287">
        <f t="shared" ref="AZ7" si="0">BA7-AY7</f>
        <v>4726.4585000000006</v>
      </c>
      <c r="BA7" s="30">
        <v>23468</v>
      </c>
      <c r="BB7" s="1324">
        <v>863330.4</v>
      </c>
      <c r="BC7" s="33">
        <v>81350</v>
      </c>
      <c r="BD7" s="30">
        <v>5.0999999999999996</v>
      </c>
      <c r="BE7" s="1324">
        <v>21788.2</v>
      </c>
      <c r="BF7" s="1324">
        <v>3141.2</v>
      </c>
      <c r="BG7" s="1324">
        <v>49111.5</v>
      </c>
      <c r="BH7" s="30">
        <v>74046</v>
      </c>
      <c r="BI7" s="299" t="s">
        <v>83</v>
      </c>
      <c r="BJ7" s="300">
        <v>-6.52</v>
      </c>
      <c r="BK7" s="17">
        <v>20.77</v>
      </c>
      <c r="BL7" s="17">
        <v>24.24</v>
      </c>
      <c r="BM7" s="17">
        <v>17.89</v>
      </c>
      <c r="BN7" s="17">
        <v>22.44</v>
      </c>
      <c r="BO7" s="17">
        <v>2.2000000000000002</v>
      </c>
      <c r="BP7" s="36">
        <v>933097.39000000013</v>
      </c>
      <c r="BQ7" s="35">
        <v>30670124</v>
      </c>
      <c r="BR7" s="37">
        <v>7246</v>
      </c>
      <c r="BS7" s="1324">
        <v>3394</v>
      </c>
      <c r="BT7" s="17">
        <v>99.342505425688316</v>
      </c>
      <c r="BU7" s="17">
        <v>46.490436102677343</v>
      </c>
      <c r="BV7" s="17">
        <v>46.184764007728397</v>
      </c>
      <c r="BW7" s="17">
        <v>10.447036346694286</v>
      </c>
      <c r="BX7" s="17">
        <v>5</v>
      </c>
      <c r="BY7" s="17">
        <v>6.01</v>
      </c>
      <c r="BZ7" s="1539">
        <v>11.31</v>
      </c>
      <c r="CA7" s="32">
        <f t="shared" ref="CA7:CA10" si="1">BZ7-BY7</f>
        <v>5.3000000000000007</v>
      </c>
      <c r="CB7" s="287" t="s">
        <v>430</v>
      </c>
      <c r="CC7" s="289" t="s">
        <v>430</v>
      </c>
      <c r="CD7" s="20" t="s">
        <v>430</v>
      </c>
    </row>
    <row r="8" spans="3:84" s="1324" customFormat="1" ht="10.5" customHeight="1">
      <c r="I8" s="369" t="s">
        <v>225</v>
      </c>
      <c r="J8" s="365">
        <v>59915.5</v>
      </c>
      <c r="K8" s="365">
        <v>611.4</v>
      </c>
      <c r="L8" s="371">
        <v>60526.9</v>
      </c>
      <c r="M8" s="365">
        <v>5731.8</v>
      </c>
      <c r="N8" s="371">
        <v>54795.1</v>
      </c>
      <c r="O8" s="365">
        <v>9482</v>
      </c>
      <c r="P8" s="365">
        <v>24919.8</v>
      </c>
      <c r="Q8" s="365">
        <v>48106.2</v>
      </c>
      <c r="R8" s="365">
        <v>337418.9</v>
      </c>
      <c r="S8" s="370">
        <v>385525.10000000003</v>
      </c>
      <c r="T8" s="365">
        <v>410444.9</v>
      </c>
      <c r="U8" s="365">
        <v>199.8</v>
      </c>
      <c r="V8" s="365">
        <v>89734.400000000009</v>
      </c>
      <c r="W8" s="365">
        <v>103101.09999999999</v>
      </c>
      <c r="X8" s="365">
        <v>440520</v>
      </c>
      <c r="Y8" s="365">
        <v>510456.39999999997</v>
      </c>
      <c r="Z8" s="369" t="s">
        <v>225</v>
      </c>
      <c r="AA8" s="365">
        <v>0</v>
      </c>
      <c r="AB8" s="365">
        <v>13830.7</v>
      </c>
      <c r="AC8" s="365">
        <v>312803.5</v>
      </c>
      <c r="AD8" s="365">
        <v>326634.2</v>
      </c>
      <c r="AE8" s="365">
        <v>0</v>
      </c>
      <c r="AF8" s="365">
        <v>4371.8999999999996</v>
      </c>
      <c r="AG8" s="365">
        <v>16670.400000000001</v>
      </c>
      <c r="AH8" s="365">
        <v>21042.300000000003</v>
      </c>
      <c r="AI8" s="365">
        <v>3080.3</v>
      </c>
      <c r="AJ8" s="365">
        <v>66704</v>
      </c>
      <c r="AK8" s="365">
        <v>8095.2</v>
      </c>
      <c r="AL8" s="365">
        <v>74799.199999999997</v>
      </c>
      <c r="AM8" s="365">
        <v>3080.3</v>
      </c>
      <c r="AN8" s="365">
        <v>84906.6</v>
      </c>
      <c r="AO8" s="365">
        <v>337569.10000000003</v>
      </c>
      <c r="AP8" s="365">
        <v>422475.7</v>
      </c>
      <c r="AQ8" s="369" t="s">
        <v>225</v>
      </c>
      <c r="AR8" s="365">
        <v>1959.3</v>
      </c>
      <c r="AS8" s="365">
        <v>17833.400000000001</v>
      </c>
      <c r="AT8" s="365">
        <v>3960.3</v>
      </c>
      <c r="AU8" s="365">
        <v>2329.1999999999998</v>
      </c>
      <c r="AV8" s="365">
        <v>410470.7</v>
      </c>
      <c r="AW8" s="365">
        <v>5461.7</v>
      </c>
      <c r="AX8" s="365">
        <v>415932.4</v>
      </c>
      <c r="AY8" s="365">
        <v>24955.944</v>
      </c>
      <c r="AZ8" s="360">
        <v>4051.7560000000012</v>
      </c>
      <c r="BA8" s="371">
        <v>29007.7</v>
      </c>
      <c r="BB8" s="365">
        <v>1087850.3</v>
      </c>
      <c r="BC8" s="371">
        <v>89534.6</v>
      </c>
      <c r="BD8" s="365">
        <v>10732.9</v>
      </c>
      <c r="BE8" s="365">
        <v>20625.2</v>
      </c>
      <c r="BF8" s="365">
        <v>2591</v>
      </c>
      <c r="BG8" s="365">
        <v>63715.1</v>
      </c>
      <c r="BH8" s="365">
        <v>97664.2</v>
      </c>
      <c r="BI8" s="369" t="s">
        <v>225</v>
      </c>
      <c r="BJ8" s="372">
        <v>34.89</v>
      </c>
      <c r="BK8" s="372">
        <v>28.72</v>
      </c>
      <c r="BL8" s="372">
        <v>25.84</v>
      </c>
      <c r="BM8" s="372">
        <v>27.41</v>
      </c>
      <c r="BN8" s="372">
        <v>21.34</v>
      </c>
      <c r="BO8" s="372">
        <v>2.08</v>
      </c>
      <c r="BP8" s="372">
        <v>1149439.29</v>
      </c>
      <c r="BQ8" s="373">
        <v>26162053</v>
      </c>
      <c r="BR8" s="373">
        <v>7712</v>
      </c>
      <c r="BS8" s="373">
        <v>3414</v>
      </c>
      <c r="BT8" s="372">
        <v>102.92469109244581</v>
      </c>
      <c r="BU8" s="372">
        <v>53.224935165975104</v>
      </c>
      <c r="BV8" s="372">
        <v>54.781600103734441</v>
      </c>
      <c r="BW8" s="372">
        <v>8.4633324619759698</v>
      </c>
      <c r="BX8" s="372">
        <v>5</v>
      </c>
      <c r="BY8" s="372">
        <v>7.27</v>
      </c>
      <c r="BZ8" s="372">
        <v>12.42</v>
      </c>
      <c r="CA8" s="364">
        <f t="shared" si="1"/>
        <v>5.15</v>
      </c>
      <c r="CB8" s="360" t="s">
        <v>430</v>
      </c>
      <c r="CC8" s="608" t="s">
        <v>430</v>
      </c>
      <c r="CD8" s="609" t="s">
        <v>430</v>
      </c>
    </row>
    <row r="9" spans="3:84" s="35" customFormat="1" ht="10.5" customHeight="1">
      <c r="I9" s="622" t="s">
        <v>1133</v>
      </c>
      <c r="J9" s="69">
        <v>64200.7</v>
      </c>
      <c r="K9" s="69">
        <v>695.8</v>
      </c>
      <c r="L9" s="301">
        <v>64896.5</v>
      </c>
      <c r="M9" s="69">
        <v>6479.4</v>
      </c>
      <c r="N9" s="301">
        <v>58417.1</v>
      </c>
      <c r="O9" s="69">
        <v>11992.2</v>
      </c>
      <c r="P9" s="69">
        <v>31574.2</v>
      </c>
      <c r="Q9" s="69">
        <v>51060.4</v>
      </c>
      <c r="R9" s="69">
        <v>407388.1</v>
      </c>
      <c r="S9" s="35">
        <v>458448.5</v>
      </c>
      <c r="T9" s="69">
        <v>490022.7</v>
      </c>
      <c r="U9" s="69">
        <v>243.9</v>
      </c>
      <c r="V9" s="69">
        <v>97802.7</v>
      </c>
      <c r="W9" s="69">
        <v>109721.4</v>
      </c>
      <c r="X9" s="69">
        <v>517109.5</v>
      </c>
      <c r="Y9" s="69">
        <v>589840.4</v>
      </c>
      <c r="Z9" s="622" t="s">
        <v>1133</v>
      </c>
      <c r="AA9" s="69">
        <v>0</v>
      </c>
      <c r="AB9" s="69">
        <v>14190.3</v>
      </c>
      <c r="AC9" s="69">
        <v>373614.6</v>
      </c>
      <c r="AD9" s="69">
        <v>387804.89999999997</v>
      </c>
      <c r="AE9" s="69">
        <v>0</v>
      </c>
      <c r="AF9" s="69">
        <v>2534.6999999999998</v>
      </c>
      <c r="AG9" s="69">
        <v>21317.5</v>
      </c>
      <c r="AH9" s="69">
        <v>23852.2</v>
      </c>
      <c r="AI9" s="69">
        <v>5173</v>
      </c>
      <c r="AJ9" s="69">
        <v>86057.1</v>
      </c>
      <c r="AK9" s="69">
        <v>9370.7999999999993</v>
      </c>
      <c r="AL9" s="69">
        <v>95427.900000000009</v>
      </c>
      <c r="AM9" s="69">
        <v>5173</v>
      </c>
      <c r="AN9" s="69">
        <v>102782.1</v>
      </c>
      <c r="AO9" s="69">
        <v>404302.89999999997</v>
      </c>
      <c r="AP9" s="69">
        <v>507085</v>
      </c>
      <c r="AQ9" s="622" t="s">
        <v>1133</v>
      </c>
      <c r="AR9" s="69">
        <v>2320</v>
      </c>
      <c r="AS9" s="69">
        <v>21671.599999999999</v>
      </c>
      <c r="AT9" s="69">
        <v>9197</v>
      </c>
      <c r="AU9" s="69">
        <v>3377.7</v>
      </c>
      <c r="AV9" s="69">
        <v>490038.80000000005</v>
      </c>
      <c r="AW9" s="69">
        <v>7141.5</v>
      </c>
      <c r="AX9" s="69">
        <v>497180.30000000005</v>
      </c>
      <c r="AY9" s="69">
        <v>29830.818000000003</v>
      </c>
      <c r="AZ9" s="293">
        <v>2831.4819999999963</v>
      </c>
      <c r="BA9" s="301">
        <v>32662.3</v>
      </c>
      <c r="BB9" s="69">
        <v>1296703.2</v>
      </c>
      <c r="BC9" s="301">
        <v>97558.8</v>
      </c>
      <c r="BD9" s="69">
        <v>9829.8000000000011</v>
      </c>
      <c r="BE9" s="69">
        <v>27482.100000000002</v>
      </c>
      <c r="BF9" s="69">
        <v>3379.1</v>
      </c>
      <c r="BG9" s="69">
        <v>82057.899999999994</v>
      </c>
      <c r="BH9" s="69">
        <v>122748.9</v>
      </c>
      <c r="BI9" s="622" t="s">
        <v>1133</v>
      </c>
      <c r="BJ9" s="36">
        <v>25.15</v>
      </c>
      <c r="BK9" s="36">
        <v>-5.01</v>
      </c>
      <c r="BL9" s="36">
        <v>19.72</v>
      </c>
      <c r="BM9" s="36">
        <v>19.53</v>
      </c>
      <c r="BN9" s="36">
        <v>17.39</v>
      </c>
      <c r="BO9" s="36">
        <v>2.04</v>
      </c>
      <c r="BP9" s="36">
        <v>1032945.5599999999</v>
      </c>
      <c r="BQ9" s="183">
        <v>22064500</v>
      </c>
      <c r="BR9" s="183">
        <v>8059</v>
      </c>
      <c r="BS9" s="183">
        <v>3449</v>
      </c>
      <c r="BT9" s="36">
        <v>103.47854088288517</v>
      </c>
      <c r="BU9" s="36">
        <v>60.806402779501184</v>
      </c>
      <c r="BV9" s="36">
        <v>62.921578359597966</v>
      </c>
      <c r="BW9" s="36">
        <v>7.9874695636345514</v>
      </c>
      <c r="BX9" s="36">
        <v>5</v>
      </c>
      <c r="BY9" s="36">
        <v>8.15</v>
      </c>
      <c r="BZ9" s="36">
        <v>13.75</v>
      </c>
      <c r="CA9" s="32">
        <f t="shared" si="1"/>
        <v>5.6</v>
      </c>
      <c r="CB9" s="293" t="s">
        <v>430</v>
      </c>
      <c r="CC9" s="623" t="s">
        <v>430</v>
      </c>
      <c r="CD9" s="291" t="s">
        <v>430</v>
      </c>
    </row>
    <row r="10" spans="3:84" s="35" customFormat="1" ht="10.5" customHeight="1">
      <c r="I10" s="369" t="s">
        <v>1107</v>
      </c>
      <c r="J10" s="365">
        <v>74633.600000000006</v>
      </c>
      <c r="K10" s="365">
        <v>738.7</v>
      </c>
      <c r="L10" s="371">
        <v>75372.3</v>
      </c>
      <c r="M10" s="365">
        <v>7819.4</v>
      </c>
      <c r="N10" s="371">
        <v>67552.899999999994</v>
      </c>
      <c r="O10" s="365">
        <v>16749.2</v>
      </c>
      <c r="P10" s="365">
        <v>37251.699999999997</v>
      </c>
      <c r="Q10" s="365">
        <v>55736.5</v>
      </c>
      <c r="R10" s="365">
        <v>479902.3</v>
      </c>
      <c r="S10" s="370">
        <v>535638.80000000005</v>
      </c>
      <c r="T10" s="365">
        <v>572890.5</v>
      </c>
      <c r="U10" s="365">
        <v>313.7</v>
      </c>
      <c r="V10" s="365">
        <v>112489.39999999998</v>
      </c>
      <c r="W10" s="365">
        <v>123603.09999999999</v>
      </c>
      <c r="X10" s="365">
        <v>603505.4</v>
      </c>
      <c r="Y10" s="365">
        <v>680182.9</v>
      </c>
      <c r="Z10" s="369" t="s">
        <v>1107</v>
      </c>
      <c r="AA10" s="365">
        <v>0</v>
      </c>
      <c r="AB10" s="365">
        <v>10424.6</v>
      </c>
      <c r="AC10" s="365">
        <v>417890.5</v>
      </c>
      <c r="AD10" s="365">
        <v>428315.1</v>
      </c>
      <c r="AE10" s="365">
        <v>0</v>
      </c>
      <c r="AF10" s="365">
        <v>939.6</v>
      </c>
      <c r="AG10" s="365">
        <v>18961.2</v>
      </c>
      <c r="AH10" s="365">
        <v>19900.8</v>
      </c>
      <c r="AI10" s="365">
        <v>6677.8</v>
      </c>
      <c r="AJ10" s="365">
        <v>123736.6</v>
      </c>
      <c r="AK10" s="365">
        <v>11125.2</v>
      </c>
      <c r="AL10" s="365">
        <v>134861.80000000002</v>
      </c>
      <c r="AM10" s="365">
        <v>6677.8</v>
      </c>
      <c r="AN10" s="365">
        <v>135100.80000000002</v>
      </c>
      <c r="AO10" s="365">
        <v>447976.9</v>
      </c>
      <c r="AP10" s="365">
        <v>583077.69999999995</v>
      </c>
      <c r="AQ10" s="369" t="s">
        <v>1107</v>
      </c>
      <c r="AR10" s="365">
        <v>9784.5</v>
      </c>
      <c r="AS10" s="365">
        <v>9441.9</v>
      </c>
      <c r="AT10" s="365">
        <v>9640.7999999999993</v>
      </c>
      <c r="AU10" s="365">
        <v>147</v>
      </c>
      <c r="AV10" s="365">
        <v>572957.5</v>
      </c>
      <c r="AW10" s="365">
        <v>6509</v>
      </c>
      <c r="AX10" s="365">
        <v>579466.5</v>
      </c>
      <c r="AY10" s="365">
        <v>34767.99</v>
      </c>
      <c r="AZ10" s="360">
        <v>2035.4100000000035</v>
      </c>
      <c r="BA10" s="371">
        <v>36803.4</v>
      </c>
      <c r="BB10" s="365">
        <v>1462258.7</v>
      </c>
      <c r="BC10" s="371">
        <v>112175.70000000001</v>
      </c>
      <c r="BD10" s="365">
        <v>9204.5</v>
      </c>
      <c r="BE10" s="365">
        <v>21263.200000000001</v>
      </c>
      <c r="BF10" s="365">
        <v>3720.1000000000004</v>
      </c>
      <c r="BG10" s="365">
        <v>123280</v>
      </c>
      <c r="BH10" s="365">
        <v>157467.79999999999</v>
      </c>
      <c r="BI10" s="369" t="s">
        <v>1107</v>
      </c>
      <c r="BJ10" s="372">
        <v>19.91</v>
      </c>
      <c r="BK10" s="372">
        <v>9.06</v>
      </c>
      <c r="BL10" s="372">
        <v>10.85</v>
      </c>
      <c r="BM10" s="372">
        <v>12.4</v>
      </c>
      <c r="BN10" s="372">
        <v>16.71</v>
      </c>
      <c r="BO10" s="372">
        <v>1.99</v>
      </c>
      <c r="BP10" s="372">
        <v>1206241.4000000001</v>
      </c>
      <c r="BQ10" s="373">
        <v>23019773</v>
      </c>
      <c r="BR10" s="373">
        <v>8427</v>
      </c>
      <c r="BS10" s="373">
        <v>3499</v>
      </c>
      <c r="BT10" s="372">
        <v>101.76630901942988</v>
      </c>
      <c r="BU10" s="372">
        <v>67.990684703927855</v>
      </c>
      <c r="BV10" s="372">
        <v>69.191610300225463</v>
      </c>
      <c r="BW10" s="372">
        <v>7.7881518262698375</v>
      </c>
      <c r="BX10" s="372">
        <v>5</v>
      </c>
      <c r="BY10" s="372">
        <v>8.5399999999999991</v>
      </c>
      <c r="BZ10" s="372">
        <v>13.67</v>
      </c>
      <c r="CA10" s="364">
        <f t="shared" si="1"/>
        <v>5.1300000000000008</v>
      </c>
      <c r="CB10" s="362">
        <v>14.21</v>
      </c>
      <c r="CC10" s="364">
        <v>17.440000000000001</v>
      </c>
      <c r="CD10" s="364">
        <f>CC10-CB10</f>
        <v>3.2300000000000004</v>
      </c>
      <c r="CE10" s="36"/>
      <c r="CF10" s="36"/>
    </row>
    <row r="11" spans="3:84" s="324" customFormat="1" ht="10.5" customHeight="1">
      <c r="I11" s="292" t="s">
        <v>1347</v>
      </c>
      <c r="J11" s="294">
        <v>84714.1</v>
      </c>
      <c r="K11" s="294">
        <v>771.1</v>
      </c>
      <c r="L11" s="294">
        <v>85485.200000000012</v>
      </c>
      <c r="M11" s="294">
        <v>8576.7999999999993</v>
      </c>
      <c r="N11" s="294">
        <v>76908.400000000009</v>
      </c>
      <c r="O11" s="294">
        <v>14653.7</v>
      </c>
      <c r="P11" s="294">
        <v>39217.699999999997</v>
      </c>
      <c r="Q11" s="294">
        <v>64344.3</v>
      </c>
      <c r="R11" s="294">
        <v>558978.4</v>
      </c>
      <c r="S11" s="294">
        <v>623322.70000000007</v>
      </c>
      <c r="T11" s="294">
        <v>662540.4</v>
      </c>
      <c r="U11" s="294">
        <v>392.4</v>
      </c>
      <c r="V11" s="294">
        <v>129875.29999999999</v>
      </c>
      <c r="W11" s="294">
        <v>141645.1</v>
      </c>
      <c r="X11" s="294">
        <v>700623.5</v>
      </c>
      <c r="Y11" s="294">
        <v>792445.3</v>
      </c>
      <c r="Z11" s="292" t="s">
        <v>1347</v>
      </c>
      <c r="AA11" s="294">
        <v>0</v>
      </c>
      <c r="AB11" s="294">
        <v>12682.9</v>
      </c>
      <c r="AC11" s="294">
        <v>472716.79999999999</v>
      </c>
      <c r="AD11" s="294">
        <v>485399.7</v>
      </c>
      <c r="AE11" s="294">
        <v>0</v>
      </c>
      <c r="AF11" s="294">
        <v>1119.4000000000001</v>
      </c>
      <c r="AG11" s="294">
        <v>18229.8</v>
      </c>
      <c r="AH11" s="294">
        <v>19349.2</v>
      </c>
      <c r="AI11" s="294">
        <v>7694</v>
      </c>
      <c r="AJ11" s="294">
        <v>152996.79999999999</v>
      </c>
      <c r="AK11" s="294">
        <v>12420.6</v>
      </c>
      <c r="AL11" s="294">
        <v>165417.4</v>
      </c>
      <c r="AM11" s="294">
        <v>7694</v>
      </c>
      <c r="AN11" s="294">
        <v>166799.09999999998</v>
      </c>
      <c r="AO11" s="294">
        <v>503367.19999999995</v>
      </c>
      <c r="AP11" s="294">
        <v>670166.30000000005</v>
      </c>
      <c r="AQ11" s="292" t="s">
        <v>1347</v>
      </c>
      <c r="AR11" s="294">
        <v>5706.9</v>
      </c>
      <c r="AS11" s="294">
        <v>5526.6</v>
      </c>
      <c r="AT11" s="294">
        <v>9945.7000000000007</v>
      </c>
      <c r="AU11" s="294">
        <v>26.2</v>
      </c>
      <c r="AV11" s="294">
        <v>662559.30000000005</v>
      </c>
      <c r="AW11" s="294">
        <v>6612.1</v>
      </c>
      <c r="AX11" s="294">
        <v>669171.4</v>
      </c>
      <c r="AY11" s="294">
        <v>43496.141000000003</v>
      </c>
      <c r="AZ11" s="294">
        <v>501.55899999999383</v>
      </c>
      <c r="BA11" s="294">
        <v>43997.7</v>
      </c>
      <c r="BB11" s="294">
        <v>1689948.5</v>
      </c>
      <c r="BC11" s="294">
        <v>129482.90000000001</v>
      </c>
      <c r="BD11" s="294">
        <v>78.099999999999994</v>
      </c>
      <c r="BE11" s="294">
        <v>16886.2</v>
      </c>
      <c r="BF11" s="294">
        <v>2769.5</v>
      </c>
      <c r="BG11" s="294">
        <v>152495.40000000002</v>
      </c>
      <c r="BH11" s="294">
        <v>172229.2</v>
      </c>
      <c r="BI11" s="292" t="s">
        <v>1347</v>
      </c>
      <c r="BJ11" s="325">
        <v>6.72</v>
      </c>
      <c r="BK11" s="325">
        <v>34.71</v>
      </c>
      <c r="BL11" s="325">
        <v>12.27</v>
      </c>
      <c r="BM11" s="325">
        <v>11.57</v>
      </c>
      <c r="BN11" s="325">
        <v>15.46</v>
      </c>
      <c r="BO11" s="36">
        <v>1.92</v>
      </c>
      <c r="BP11" s="325">
        <v>1349860.7500000002</v>
      </c>
      <c r="BQ11" s="477">
        <v>25358417</v>
      </c>
      <c r="BR11" s="477">
        <v>8794</v>
      </c>
      <c r="BS11" s="477">
        <v>3536</v>
      </c>
      <c r="BT11" s="325">
        <v>101.14812364719657</v>
      </c>
      <c r="BU11" s="325">
        <v>75.342199226745507</v>
      </c>
      <c r="BV11" s="325">
        <v>76.20722083238573</v>
      </c>
      <c r="BW11" s="325">
        <v>7.9350633218792641</v>
      </c>
      <c r="BX11" s="325">
        <v>5</v>
      </c>
      <c r="BY11" s="325">
        <v>7.79</v>
      </c>
      <c r="BZ11" s="325">
        <v>13.1</v>
      </c>
      <c r="CA11" s="325">
        <v>5.31</v>
      </c>
      <c r="CB11" s="325">
        <v>12.52</v>
      </c>
      <c r="CC11" s="325">
        <v>16.899999999999999</v>
      </c>
      <c r="CD11" s="325">
        <v>4.38</v>
      </c>
    </row>
    <row r="12" spans="3:84" s="324" customFormat="1" ht="10.5" customHeight="1">
      <c r="I12" s="359" t="s">
        <v>1406</v>
      </c>
      <c r="J12" s="562">
        <v>97361.5</v>
      </c>
      <c r="K12" s="562">
        <v>792.4</v>
      </c>
      <c r="L12" s="562">
        <v>98153.9</v>
      </c>
      <c r="M12" s="562">
        <v>10213.1</v>
      </c>
      <c r="N12" s="562">
        <v>87940.799999999988</v>
      </c>
      <c r="O12" s="562">
        <v>13317.8</v>
      </c>
      <c r="P12" s="562">
        <v>47116.6</v>
      </c>
      <c r="Q12" s="562">
        <v>72383.7</v>
      </c>
      <c r="R12" s="562">
        <v>626799.9</v>
      </c>
      <c r="S12" s="562">
        <v>699183.6</v>
      </c>
      <c r="T12" s="562">
        <v>746300.2</v>
      </c>
      <c r="U12" s="562">
        <v>489.7</v>
      </c>
      <c r="V12" s="562">
        <v>148482.50000000003</v>
      </c>
      <c r="W12" s="562">
        <v>160814.20000000001</v>
      </c>
      <c r="X12" s="562">
        <v>787614.10000000009</v>
      </c>
      <c r="Y12" s="542">
        <v>910049</v>
      </c>
      <c r="Z12" s="359" t="s">
        <v>1406</v>
      </c>
      <c r="AA12" s="361">
        <v>0</v>
      </c>
      <c r="AB12" s="361">
        <v>15343.1</v>
      </c>
      <c r="AC12" s="361">
        <v>537605.1</v>
      </c>
      <c r="AD12" s="361">
        <v>552948.19999999995</v>
      </c>
      <c r="AE12" s="361">
        <v>0</v>
      </c>
      <c r="AF12" s="361">
        <v>1250.4000000000001</v>
      </c>
      <c r="AG12" s="361">
        <v>18779.3</v>
      </c>
      <c r="AH12" s="361">
        <v>20029.7</v>
      </c>
      <c r="AI12" s="361">
        <v>7130.6</v>
      </c>
      <c r="AJ12" s="361">
        <v>157018.4</v>
      </c>
      <c r="AK12" s="361">
        <v>13569.3</v>
      </c>
      <c r="AL12" s="361">
        <v>170587.69999999998</v>
      </c>
      <c r="AM12" s="361">
        <v>7130.6</v>
      </c>
      <c r="AN12" s="361">
        <v>173611.9</v>
      </c>
      <c r="AO12" s="361">
        <v>569953.70000000007</v>
      </c>
      <c r="AP12" s="361">
        <v>743565.59999999986</v>
      </c>
      <c r="AQ12" s="359" t="s">
        <v>1406</v>
      </c>
      <c r="AR12" s="562">
        <v>5604.1</v>
      </c>
      <c r="AS12" s="562">
        <v>4823.6000000000004</v>
      </c>
      <c r="AT12" s="562">
        <v>7890.2</v>
      </c>
      <c r="AU12" s="562">
        <v>217.9</v>
      </c>
      <c r="AV12" s="562">
        <v>746329.9</v>
      </c>
      <c r="AW12" s="562">
        <v>6653.4</v>
      </c>
      <c r="AX12" s="562">
        <v>752983.3</v>
      </c>
      <c r="AY12" s="562">
        <v>48943.914500000006</v>
      </c>
      <c r="AZ12" s="562">
        <v>894.98549999999523</v>
      </c>
      <c r="BA12" s="562">
        <v>49838.9</v>
      </c>
      <c r="BB12" s="562">
        <v>1962638.4</v>
      </c>
      <c r="BC12" s="562">
        <v>147992.79999999999</v>
      </c>
      <c r="BD12" s="562">
        <v>2435.4</v>
      </c>
      <c r="BE12" s="562">
        <v>8796.4</v>
      </c>
      <c r="BF12" s="562">
        <v>3334.2</v>
      </c>
      <c r="BG12" s="562">
        <v>155768.70000000001</v>
      </c>
      <c r="BH12" s="562">
        <v>170334.7</v>
      </c>
      <c r="BI12" s="359" t="s">
        <v>1406</v>
      </c>
      <c r="BJ12" s="367">
        <v>-6.19</v>
      </c>
      <c r="BK12" s="367">
        <v>34.71</v>
      </c>
      <c r="BL12" s="367">
        <v>12.27</v>
      </c>
      <c r="BM12" s="367">
        <v>11.57</v>
      </c>
      <c r="BN12" s="367">
        <v>16.09</v>
      </c>
      <c r="BO12" s="372">
        <v>1.92</v>
      </c>
      <c r="BP12" s="367" t="s">
        <v>430</v>
      </c>
      <c r="BQ12" s="368" t="s">
        <v>430</v>
      </c>
      <c r="BR12" s="368">
        <v>9131</v>
      </c>
      <c r="BS12" s="368">
        <v>3669</v>
      </c>
      <c r="BT12" s="367">
        <v>99.629614196081363</v>
      </c>
      <c r="BU12" s="367">
        <v>81.735833972182675</v>
      </c>
      <c r="BV12" s="367">
        <v>81.43309604643521</v>
      </c>
      <c r="BW12" s="367">
        <v>8.0463076717146134</v>
      </c>
      <c r="BX12" s="367">
        <v>5</v>
      </c>
      <c r="BY12" s="367">
        <v>6.8</v>
      </c>
      <c r="BZ12" s="367">
        <v>11.67</v>
      </c>
      <c r="CA12" s="367">
        <v>4.87</v>
      </c>
      <c r="CB12" s="367">
        <v>10.61</v>
      </c>
      <c r="CC12" s="367">
        <v>15.12</v>
      </c>
      <c r="CD12" s="367">
        <v>4.51</v>
      </c>
    </row>
    <row r="13" spans="3:84" s="324" customFormat="1" ht="10.5" customHeight="1">
      <c r="C13" s="1754" t="s">
        <v>1936</v>
      </c>
      <c r="D13" s="1754"/>
      <c r="E13" s="1754"/>
      <c r="F13" s="1754"/>
      <c r="G13" s="1754"/>
      <c r="I13" s="292" t="s">
        <v>1560</v>
      </c>
      <c r="J13" s="568">
        <v>130728.7</v>
      </c>
      <c r="K13" s="568">
        <v>1576.5</v>
      </c>
      <c r="L13" s="568">
        <v>132305.20000000001</v>
      </c>
      <c r="M13" s="568">
        <v>10230.700000000001</v>
      </c>
      <c r="N13" s="568">
        <v>122074.50000000001</v>
      </c>
      <c r="O13" s="568">
        <v>17126.2</v>
      </c>
      <c r="P13" s="568">
        <v>55874.7</v>
      </c>
      <c r="Q13" s="568">
        <v>89759.1</v>
      </c>
      <c r="R13" s="568">
        <v>703947.2</v>
      </c>
      <c r="S13" s="568">
        <v>793706.29999999993</v>
      </c>
      <c r="T13" s="568">
        <v>849580.99999999988</v>
      </c>
      <c r="U13" s="568">
        <v>597.1</v>
      </c>
      <c r="V13" s="568">
        <v>193201.30000000002</v>
      </c>
      <c r="W13" s="568">
        <v>212430.70000000004</v>
      </c>
      <c r="X13" s="568">
        <v>916377.9</v>
      </c>
      <c r="Y13" s="570">
        <v>1076743.2</v>
      </c>
      <c r="Z13" s="292" t="s">
        <v>1560</v>
      </c>
      <c r="AA13" s="568">
        <v>0</v>
      </c>
      <c r="AB13" s="568">
        <v>14977.5</v>
      </c>
      <c r="AC13" s="568">
        <v>627918.19999999995</v>
      </c>
      <c r="AD13" s="568">
        <v>642895.69999999995</v>
      </c>
      <c r="AE13" s="568">
        <v>0</v>
      </c>
      <c r="AF13" s="568">
        <v>1589</v>
      </c>
      <c r="AG13" s="568">
        <v>22461</v>
      </c>
      <c r="AH13" s="568">
        <v>24050</v>
      </c>
      <c r="AI13" s="568">
        <v>8613</v>
      </c>
      <c r="AJ13" s="568">
        <v>157964.29999999999</v>
      </c>
      <c r="AK13" s="568">
        <v>15663.2</v>
      </c>
      <c r="AL13" s="568">
        <v>173627.5</v>
      </c>
      <c r="AM13" s="568">
        <v>8613</v>
      </c>
      <c r="AN13" s="568">
        <v>174530.8</v>
      </c>
      <c r="AO13" s="568">
        <v>666042.39999999991</v>
      </c>
      <c r="AP13" s="568">
        <v>840573.2</v>
      </c>
      <c r="AQ13" s="292" t="s">
        <v>1560</v>
      </c>
      <c r="AR13" s="568">
        <v>5436.7</v>
      </c>
      <c r="AS13" s="568">
        <v>18388.400000000001</v>
      </c>
      <c r="AT13" s="568">
        <v>12975.5</v>
      </c>
      <c r="AU13" s="568">
        <v>50.7</v>
      </c>
      <c r="AV13" s="568">
        <v>849617.20000000007</v>
      </c>
      <c r="AW13" s="568">
        <v>6908.3</v>
      </c>
      <c r="AX13" s="568">
        <v>856525.50000000012</v>
      </c>
      <c r="AY13" s="568">
        <v>55674.157500000008</v>
      </c>
      <c r="AZ13" s="568">
        <v>4624.8424999999916</v>
      </c>
      <c r="BA13" s="568">
        <v>60299</v>
      </c>
      <c r="BB13" s="568">
        <v>2370730.1</v>
      </c>
      <c r="BC13" s="568">
        <v>192604.2</v>
      </c>
      <c r="BD13" s="568">
        <v>4000</v>
      </c>
      <c r="BE13" s="568">
        <v>15984.8</v>
      </c>
      <c r="BF13" s="568">
        <v>3911.6</v>
      </c>
      <c r="BG13" s="568">
        <v>156583.5</v>
      </c>
      <c r="BH13" s="568">
        <v>180479.9</v>
      </c>
      <c r="BI13" s="292" t="s">
        <v>1560</v>
      </c>
      <c r="BJ13" s="695">
        <v>3.59</v>
      </c>
      <c r="BK13" s="695">
        <v>-3.71</v>
      </c>
      <c r="BL13" s="695">
        <v>16.78</v>
      </c>
      <c r="BM13" s="695">
        <v>14.22</v>
      </c>
      <c r="BN13" s="695">
        <v>16.350000000000001</v>
      </c>
      <c r="BO13" s="325">
        <v>1.8909927880190038</v>
      </c>
      <c r="BP13" s="325" t="s">
        <v>430</v>
      </c>
      <c r="BQ13" s="477" t="s">
        <v>430</v>
      </c>
      <c r="BR13" s="1055">
        <v>9453</v>
      </c>
      <c r="BS13" s="1055">
        <v>3700</v>
      </c>
      <c r="BT13" s="695">
        <v>98.935520608575231</v>
      </c>
      <c r="BU13" s="695">
        <v>89.878049296519634</v>
      </c>
      <c r="BV13" s="695">
        <v>88.921315984343593</v>
      </c>
      <c r="BW13" s="695">
        <v>8.3013503022302277</v>
      </c>
      <c r="BX13" s="695">
        <v>5</v>
      </c>
      <c r="BY13" s="695">
        <v>5.54</v>
      </c>
      <c r="BZ13" s="695">
        <v>10.39</v>
      </c>
      <c r="CA13" s="695">
        <v>4.8500000000000005</v>
      </c>
      <c r="CB13" s="695">
        <v>8.9499999999999993</v>
      </c>
      <c r="CC13" s="695">
        <v>13.07</v>
      </c>
      <c r="CD13" s="695">
        <v>4.120000000000001</v>
      </c>
    </row>
    <row r="14" spans="3:84" s="324" customFormat="1" ht="10.5" customHeight="1">
      <c r="C14" s="1754"/>
      <c r="D14" s="1754"/>
      <c r="E14" s="1754"/>
      <c r="F14" s="1754"/>
      <c r="G14" s="1754"/>
      <c r="I14" s="359" t="s">
        <v>1596</v>
      </c>
      <c r="J14" s="562">
        <v>149724.70000000001</v>
      </c>
      <c r="K14" s="562">
        <v>1540.5</v>
      </c>
      <c r="L14" s="562">
        <v>151265.20000000001</v>
      </c>
      <c r="M14" s="562">
        <v>13733.4</v>
      </c>
      <c r="N14" s="562">
        <v>137531.80000000002</v>
      </c>
      <c r="O14" s="562">
        <v>22096.9</v>
      </c>
      <c r="P14" s="562">
        <v>64651.3</v>
      </c>
      <c r="Q14" s="562">
        <v>101885.2</v>
      </c>
      <c r="R14" s="562">
        <v>775997.6</v>
      </c>
      <c r="S14" s="562">
        <v>877882.79999999993</v>
      </c>
      <c r="T14" s="562">
        <v>942534.1</v>
      </c>
      <c r="U14" s="562">
        <v>661.5</v>
      </c>
      <c r="V14" s="562">
        <v>224659.39999999997</v>
      </c>
      <c r="W14" s="562">
        <v>240078.5</v>
      </c>
      <c r="X14" s="562">
        <v>1016076.1</v>
      </c>
      <c r="Y14" s="542">
        <v>1233465.5</v>
      </c>
      <c r="Z14" s="359" t="s">
        <v>1596</v>
      </c>
      <c r="AA14" s="562">
        <v>0</v>
      </c>
      <c r="AB14" s="562">
        <v>15533.2</v>
      </c>
      <c r="AC14" s="562">
        <v>728117</v>
      </c>
      <c r="AD14" s="562">
        <v>743650.2</v>
      </c>
      <c r="AE14" s="562">
        <v>0</v>
      </c>
      <c r="AF14" s="562">
        <v>1726.2</v>
      </c>
      <c r="AG14" s="562">
        <v>27218.5</v>
      </c>
      <c r="AH14" s="562">
        <v>28944.7</v>
      </c>
      <c r="AI14" s="562">
        <v>14073.4</v>
      </c>
      <c r="AJ14" s="562">
        <v>152329.70000000001</v>
      </c>
      <c r="AK14" s="562">
        <v>15744.2</v>
      </c>
      <c r="AL14" s="562">
        <v>168073.90000000002</v>
      </c>
      <c r="AM14" s="562">
        <v>14073.4</v>
      </c>
      <c r="AN14" s="562">
        <v>169589.1</v>
      </c>
      <c r="AO14" s="562">
        <v>771079.7</v>
      </c>
      <c r="AP14" s="562">
        <v>940668.79999999993</v>
      </c>
      <c r="AQ14" s="359" t="s">
        <v>1596</v>
      </c>
      <c r="AR14" s="562">
        <v>7470.4</v>
      </c>
      <c r="AS14" s="562">
        <v>24394.1</v>
      </c>
      <c r="AT14" s="562">
        <v>20759.3</v>
      </c>
      <c r="AU14" s="562">
        <v>62.9</v>
      </c>
      <c r="AV14" s="562">
        <v>942558.51</v>
      </c>
      <c r="AW14" s="562">
        <v>5784.1</v>
      </c>
      <c r="AX14" s="562">
        <v>948342.61</v>
      </c>
      <c r="AY14" s="562">
        <v>61642.269650000002</v>
      </c>
      <c r="AZ14" s="562">
        <v>11090.430349999995</v>
      </c>
      <c r="BA14" s="562">
        <v>72732.7</v>
      </c>
      <c r="BB14" s="562">
        <v>2223734.2999999998</v>
      </c>
      <c r="BC14" s="562">
        <v>223997.90000000002</v>
      </c>
      <c r="BD14" s="562">
        <v>3015.6</v>
      </c>
      <c r="BE14" s="562">
        <v>10964.5</v>
      </c>
      <c r="BF14" s="562">
        <v>3364.4</v>
      </c>
      <c r="BG14" s="562">
        <v>151102.29999999999</v>
      </c>
      <c r="BH14" s="562">
        <v>168446.8</v>
      </c>
      <c r="BI14" s="359" t="s">
        <v>1596</v>
      </c>
      <c r="BJ14" s="545">
        <v>-14.78</v>
      </c>
      <c r="BK14" s="545">
        <v>7.66</v>
      </c>
      <c r="BL14" s="545">
        <v>15.66</v>
      </c>
      <c r="BM14" s="545">
        <v>11.16</v>
      </c>
      <c r="BN14" s="545">
        <v>10.88</v>
      </c>
      <c r="BO14" s="367">
        <v>1.94</v>
      </c>
      <c r="BP14" s="367" t="s">
        <v>430</v>
      </c>
      <c r="BQ14" s="368" t="s">
        <v>430</v>
      </c>
      <c r="BR14" s="1237">
        <v>9720</v>
      </c>
      <c r="BS14" s="1237">
        <v>3713</v>
      </c>
      <c r="BT14" s="545">
        <v>99.799512711417776</v>
      </c>
      <c r="BU14" s="545">
        <v>96.971040123456788</v>
      </c>
      <c r="BV14" s="545">
        <v>96.776625514403278</v>
      </c>
      <c r="BW14" s="545">
        <v>9.1735525256676098</v>
      </c>
      <c r="BX14" s="545">
        <v>5</v>
      </c>
      <c r="BY14" s="545">
        <v>4.84</v>
      </c>
      <c r="BZ14" s="545">
        <v>9.56</v>
      </c>
      <c r="CA14" s="545">
        <v>4.7200000000000006</v>
      </c>
      <c r="CB14" s="545">
        <v>8.3699999999999992</v>
      </c>
      <c r="CC14" s="545">
        <v>11.69</v>
      </c>
      <c r="CD14" s="545">
        <v>3.3200000000000003</v>
      </c>
    </row>
    <row r="15" spans="3:84" s="324" customFormat="1" ht="10.5" customHeight="1">
      <c r="H15" s="211"/>
      <c r="I15" s="923" t="s">
        <v>1756</v>
      </c>
      <c r="J15" s="688">
        <v>153411.20000000001</v>
      </c>
      <c r="K15" s="688">
        <v>1529.3</v>
      </c>
      <c r="L15" s="688">
        <v>154940.5</v>
      </c>
      <c r="M15" s="688">
        <v>14023</v>
      </c>
      <c r="N15" s="688">
        <v>140917.5</v>
      </c>
      <c r="O15" s="688">
        <v>33411</v>
      </c>
      <c r="P15" s="688">
        <v>75790.3</v>
      </c>
      <c r="Q15" s="688">
        <v>113217.1</v>
      </c>
      <c r="R15" s="688">
        <v>855087.3</v>
      </c>
      <c r="S15" s="688">
        <v>968304.4</v>
      </c>
      <c r="T15" s="688">
        <v>1044094.7000000001</v>
      </c>
      <c r="U15" s="688">
        <v>759.1</v>
      </c>
      <c r="V15" s="688">
        <v>233743</v>
      </c>
      <c r="W15" s="688">
        <v>254893.7</v>
      </c>
      <c r="X15" s="688">
        <v>1109981</v>
      </c>
      <c r="Y15" s="876">
        <v>1373748.5</v>
      </c>
      <c r="Z15" s="923" t="s">
        <v>1756</v>
      </c>
      <c r="AA15" s="688">
        <v>0</v>
      </c>
      <c r="AB15" s="688">
        <v>18543.400000000001</v>
      </c>
      <c r="AC15" s="688">
        <v>859131.1</v>
      </c>
      <c r="AD15" s="688">
        <v>877674.5</v>
      </c>
      <c r="AE15" s="688">
        <v>0</v>
      </c>
      <c r="AF15" s="688">
        <v>1666.1</v>
      </c>
      <c r="AG15" s="688">
        <v>26533.1</v>
      </c>
      <c r="AH15" s="688">
        <v>28199.199999999997</v>
      </c>
      <c r="AI15" s="688">
        <v>17367.400000000001</v>
      </c>
      <c r="AJ15" s="688">
        <v>152836.79999999999</v>
      </c>
      <c r="AK15" s="688">
        <v>16721.3</v>
      </c>
      <c r="AL15" s="688">
        <v>169558.09999999998</v>
      </c>
      <c r="AM15" s="688">
        <v>17367.400000000001</v>
      </c>
      <c r="AN15" s="688">
        <v>173046.3</v>
      </c>
      <c r="AO15" s="688">
        <v>902385.5</v>
      </c>
      <c r="AP15" s="688">
        <v>1075431.7999999998</v>
      </c>
      <c r="AQ15" s="923" t="s">
        <v>1756</v>
      </c>
      <c r="AR15" s="688">
        <v>9988.7999999999993</v>
      </c>
      <c r="AS15" s="688">
        <v>32329.9</v>
      </c>
      <c r="AT15" s="688">
        <v>25777.8</v>
      </c>
      <c r="AU15" s="688">
        <v>59.2</v>
      </c>
      <c r="AV15" s="688">
        <v>1044113.46</v>
      </c>
      <c r="AW15" s="688">
        <v>7577.6</v>
      </c>
      <c r="AX15" s="688">
        <v>1051691.06</v>
      </c>
      <c r="AY15" s="688">
        <v>55721.048349999997</v>
      </c>
      <c r="AZ15" s="688">
        <v>22320.841650000002</v>
      </c>
      <c r="BA15" s="688">
        <v>78041.89</v>
      </c>
      <c r="BB15" s="688">
        <v>2680520.5</v>
      </c>
      <c r="BC15" s="688">
        <v>232982.39</v>
      </c>
      <c r="BD15" s="688">
        <v>4000</v>
      </c>
      <c r="BE15" s="688">
        <v>17878.900000000001</v>
      </c>
      <c r="BF15" s="688">
        <v>4818</v>
      </c>
      <c r="BG15" s="688">
        <v>151396</v>
      </c>
      <c r="BH15" s="688">
        <v>178092.9</v>
      </c>
      <c r="BI15" s="923" t="s">
        <v>1756</v>
      </c>
      <c r="BJ15" s="687">
        <v>-2.5099999999999998</v>
      </c>
      <c r="BK15" s="687">
        <v>11.11</v>
      </c>
      <c r="BL15" s="687">
        <v>16.940000000000001</v>
      </c>
      <c r="BM15" s="687">
        <v>14.71</v>
      </c>
      <c r="BN15" s="687">
        <v>9.24</v>
      </c>
      <c r="BO15" s="427">
        <v>2.0299999999999998</v>
      </c>
      <c r="BP15" s="427" t="s">
        <v>430</v>
      </c>
      <c r="BQ15" s="428" t="s">
        <v>430</v>
      </c>
      <c r="BR15" s="809">
        <v>10114</v>
      </c>
      <c r="BS15" s="809">
        <v>3741</v>
      </c>
      <c r="BT15" s="687">
        <v>102.99951501439315</v>
      </c>
      <c r="BU15" s="687">
        <v>103.23447300771208</v>
      </c>
      <c r="BV15" s="687">
        <v>106.33100652560805</v>
      </c>
      <c r="BW15" s="687">
        <v>8.8175177820234207</v>
      </c>
      <c r="BX15" s="687">
        <v>5</v>
      </c>
      <c r="BY15" s="687">
        <v>5.5</v>
      </c>
      <c r="BZ15" s="687">
        <v>9.9499999999999993</v>
      </c>
      <c r="CA15" s="687">
        <v>4.4499999999999993</v>
      </c>
      <c r="CB15" s="687">
        <v>10.14</v>
      </c>
      <c r="CC15" s="687">
        <v>12.67</v>
      </c>
      <c r="CD15" s="687">
        <v>2.5299999999999994</v>
      </c>
      <c r="CE15" s="325"/>
      <c r="CF15" s="325"/>
    </row>
    <row r="16" spans="3:84" s="548" customFormat="1" ht="10.5" customHeight="1">
      <c r="I16" s="378" t="s">
        <v>1904</v>
      </c>
      <c r="J16" s="691">
        <f>J28</f>
        <v>168858.3</v>
      </c>
      <c r="K16" s="691">
        <f t="shared" ref="K16:X16" si="2">K28</f>
        <v>1528.8</v>
      </c>
      <c r="L16" s="691">
        <f t="shared" si="2"/>
        <v>170387.09999999998</v>
      </c>
      <c r="M16" s="691">
        <f t="shared" si="2"/>
        <v>16100.1</v>
      </c>
      <c r="N16" s="691">
        <f t="shared" si="2"/>
        <v>154286.99999999997</v>
      </c>
      <c r="O16" s="691">
        <f t="shared" si="2"/>
        <v>39425.5</v>
      </c>
      <c r="P16" s="691">
        <f t="shared" si="2"/>
        <v>82779.3</v>
      </c>
      <c r="Q16" s="691">
        <f t="shared" si="2"/>
        <v>118217.9</v>
      </c>
      <c r="R16" s="691">
        <f t="shared" si="2"/>
        <v>946318.1</v>
      </c>
      <c r="S16" s="691">
        <f t="shared" si="2"/>
        <v>1064536</v>
      </c>
      <c r="T16" s="691">
        <f t="shared" si="2"/>
        <v>1147315.3</v>
      </c>
      <c r="U16" s="691">
        <f t="shared" si="2"/>
        <v>788.5</v>
      </c>
      <c r="V16" s="691">
        <v>246187.7</v>
      </c>
      <c r="W16" s="691">
        <f t="shared" si="2"/>
        <v>273293.39999999997</v>
      </c>
      <c r="X16" s="691">
        <f t="shared" si="2"/>
        <v>1219611.5</v>
      </c>
      <c r="Y16" s="775">
        <v>1534026.9</v>
      </c>
      <c r="Z16" s="378" t="s">
        <v>1904</v>
      </c>
      <c r="AA16" s="691">
        <f t="shared" ref="AA16:AP16" si="3">AA28</f>
        <v>0</v>
      </c>
      <c r="AB16" s="691">
        <f t="shared" si="3"/>
        <v>20919.7</v>
      </c>
      <c r="AC16" s="691">
        <f t="shared" si="3"/>
        <v>959297.9</v>
      </c>
      <c r="AD16" s="691">
        <f t="shared" si="3"/>
        <v>980217.6</v>
      </c>
      <c r="AE16" s="691">
        <f t="shared" si="3"/>
        <v>0</v>
      </c>
      <c r="AF16" s="691">
        <f t="shared" si="3"/>
        <v>1846.4</v>
      </c>
      <c r="AG16" s="691">
        <f t="shared" si="3"/>
        <v>28721.3</v>
      </c>
      <c r="AH16" s="691">
        <f t="shared" si="3"/>
        <v>30567.7</v>
      </c>
      <c r="AI16" s="691">
        <f t="shared" si="3"/>
        <v>26155.9</v>
      </c>
      <c r="AJ16" s="691">
        <f t="shared" si="3"/>
        <v>171543.8</v>
      </c>
      <c r="AK16" s="691">
        <f t="shared" si="3"/>
        <v>17447.099999999999</v>
      </c>
      <c r="AL16" s="691">
        <f t="shared" si="3"/>
        <v>188990.9</v>
      </c>
      <c r="AM16" s="691">
        <f t="shared" si="3"/>
        <v>26155.9</v>
      </c>
      <c r="AN16" s="691">
        <f t="shared" si="3"/>
        <v>194309.9</v>
      </c>
      <c r="AO16" s="691">
        <f t="shared" si="3"/>
        <v>1005466.3</v>
      </c>
      <c r="AP16" s="691">
        <f t="shared" si="3"/>
        <v>1199776.2</v>
      </c>
      <c r="AQ16" s="378" t="s">
        <v>1904</v>
      </c>
      <c r="AR16" s="691">
        <f t="shared" ref="AR16:BH16" si="4">AR28</f>
        <v>10348.200000000001</v>
      </c>
      <c r="AS16" s="691">
        <f t="shared" si="4"/>
        <v>35369.800000000003</v>
      </c>
      <c r="AT16" s="691">
        <f t="shared" si="4"/>
        <v>35152.699999999997</v>
      </c>
      <c r="AU16" s="691">
        <f t="shared" si="4"/>
        <v>146.6</v>
      </c>
      <c r="AV16" s="691">
        <f t="shared" si="4"/>
        <v>1147338.68</v>
      </c>
      <c r="AW16" s="691">
        <f t="shared" si="4"/>
        <v>7705.6</v>
      </c>
      <c r="AX16" s="691">
        <f t="shared" si="4"/>
        <v>1155044.28</v>
      </c>
      <c r="AY16" s="691">
        <f t="shared" si="4"/>
        <v>60993.162450000003</v>
      </c>
      <c r="AZ16" s="691">
        <f t="shared" si="4"/>
        <v>13942.628850000008</v>
      </c>
      <c r="BA16" s="691">
        <f t="shared" si="4"/>
        <v>74935.791300000012</v>
      </c>
      <c r="BB16" s="691">
        <f t="shared" si="4"/>
        <v>3029188.4</v>
      </c>
      <c r="BC16" s="691">
        <f t="shared" si="4"/>
        <v>245322.89129999999</v>
      </c>
      <c r="BD16" s="691">
        <f t="shared" si="4"/>
        <v>1422.9</v>
      </c>
      <c r="BE16" s="691">
        <f t="shared" si="4"/>
        <v>30233</v>
      </c>
      <c r="BF16" s="691">
        <f t="shared" si="4"/>
        <v>4900.8</v>
      </c>
      <c r="BG16" s="691">
        <f t="shared" si="4"/>
        <v>168433.9</v>
      </c>
      <c r="BH16" s="691">
        <f t="shared" si="4"/>
        <v>204990.59999999998</v>
      </c>
      <c r="BI16" s="378" t="s">
        <v>1904</v>
      </c>
      <c r="BJ16" s="807">
        <f>BJ28</f>
        <v>19.37</v>
      </c>
      <c r="BK16" s="807">
        <f>BK28</f>
        <v>21.64</v>
      </c>
      <c r="BL16" s="807">
        <f>BL28</f>
        <v>11.32</v>
      </c>
      <c r="BM16" s="807">
        <f>BM28</f>
        <v>12.26</v>
      </c>
      <c r="BN16" s="807">
        <f>BN28</f>
        <v>9.8800000000000008</v>
      </c>
      <c r="BO16" s="417">
        <v>2.08</v>
      </c>
      <c r="BP16" s="417" t="s">
        <v>430</v>
      </c>
      <c r="BQ16" s="600" t="s">
        <v>430</v>
      </c>
      <c r="BR16" s="875">
        <f t="shared" ref="BR16:CD16" si="5">BR28</f>
        <v>10396</v>
      </c>
      <c r="BS16" s="875">
        <f t="shared" si="5"/>
        <v>3759</v>
      </c>
      <c r="BT16" s="807">
        <f t="shared" si="5"/>
        <v>104.57036103759702</v>
      </c>
      <c r="BU16" s="807">
        <f t="shared" si="5"/>
        <v>110.36347441323585</v>
      </c>
      <c r="BV16" s="807">
        <f t="shared" si="5"/>
        <v>115.40748364755675</v>
      </c>
      <c r="BW16" s="807">
        <f t="shared" si="5"/>
        <v>7.9345264730375886</v>
      </c>
      <c r="BX16" s="807">
        <f t="shared" si="5"/>
        <v>5</v>
      </c>
      <c r="BY16" s="807">
        <f t="shared" si="5"/>
        <v>5.43</v>
      </c>
      <c r="BZ16" s="807">
        <f t="shared" si="5"/>
        <v>9.58</v>
      </c>
      <c r="CA16" s="807">
        <f t="shared" si="5"/>
        <v>4.1500000000000004</v>
      </c>
      <c r="CB16" s="807">
        <f t="shared" si="5"/>
        <v>10.56</v>
      </c>
      <c r="CC16" s="807">
        <f t="shared" si="5"/>
        <v>13</v>
      </c>
      <c r="CD16" s="807">
        <f t="shared" si="5"/>
        <v>2.4399999999999995</v>
      </c>
    </row>
    <row r="17" spans="1:82" s="557" customFormat="1" ht="10.5" customHeight="1">
      <c r="A17" s="548"/>
      <c r="B17" s="548"/>
      <c r="C17" s="548"/>
      <c r="D17" s="548"/>
      <c r="E17" s="548"/>
      <c r="F17" s="548"/>
      <c r="G17" s="548"/>
      <c r="H17" s="548"/>
      <c r="I17" s="479" t="s">
        <v>742</v>
      </c>
      <c r="J17" s="568">
        <v>149492.79999999999</v>
      </c>
      <c r="K17" s="568">
        <v>1527</v>
      </c>
      <c r="L17" s="568">
        <f t="shared" ref="L17:L53" si="6">J17+K17</f>
        <v>151019.79999999999</v>
      </c>
      <c r="M17" s="568">
        <v>13317.5</v>
      </c>
      <c r="N17" s="568">
        <f t="shared" ref="N17:N53" si="7">L17-M17</f>
        <v>137702.29999999999</v>
      </c>
      <c r="O17" s="568">
        <v>30503.1</v>
      </c>
      <c r="P17" s="568">
        <v>70875.7</v>
      </c>
      <c r="Q17" s="568">
        <v>106870.3</v>
      </c>
      <c r="R17" s="568">
        <v>860756.6</v>
      </c>
      <c r="S17" s="568">
        <f t="shared" ref="S17:S53" si="8">Q17+R17</f>
        <v>967626.9</v>
      </c>
      <c r="T17" s="568">
        <f t="shared" ref="T17:T53" si="9">P17+S17</f>
        <v>1038502.6</v>
      </c>
      <c r="U17" s="568">
        <v>831.5</v>
      </c>
      <c r="V17" s="568">
        <v>221267.9</v>
      </c>
      <c r="W17" s="568">
        <f t="shared" ref="W17:W28" si="10">N17+Q17+U17</f>
        <v>245404.09999999998</v>
      </c>
      <c r="X17" s="568">
        <f t="shared" ref="X17:X28" si="11">R17+W17</f>
        <v>1106160.7</v>
      </c>
      <c r="Y17" s="570">
        <v>1374690.5</v>
      </c>
      <c r="Z17" s="211" t="s">
        <v>742</v>
      </c>
      <c r="AA17" s="294">
        <v>0</v>
      </c>
      <c r="AB17" s="568">
        <v>19059.3</v>
      </c>
      <c r="AC17" s="568">
        <v>854121.1</v>
      </c>
      <c r="AD17" s="568">
        <f t="shared" ref="AD17:AD53" si="12">AB17+AC17</f>
        <v>873180.4</v>
      </c>
      <c r="AE17" s="294">
        <v>0</v>
      </c>
      <c r="AF17" s="568">
        <v>1765.2</v>
      </c>
      <c r="AG17" s="568">
        <v>25493.3</v>
      </c>
      <c r="AH17" s="568">
        <f t="shared" ref="AH17:AH53" si="13">AF17+AG17</f>
        <v>27258.5</v>
      </c>
      <c r="AI17" s="586">
        <v>16928.099999999999</v>
      </c>
      <c r="AJ17" s="586">
        <v>159910.70000000001</v>
      </c>
      <c r="AK17" s="586">
        <v>16754.3</v>
      </c>
      <c r="AL17" s="586">
        <f t="shared" ref="AL17:AL53" si="14">AJ17+AK17</f>
        <v>176665</v>
      </c>
      <c r="AM17" s="586">
        <f t="shared" ref="AM17:AP28" si="15">AA17+AE17+AI17</f>
        <v>16928.099999999999</v>
      </c>
      <c r="AN17" s="586">
        <f t="shared" si="15"/>
        <v>180735.2</v>
      </c>
      <c r="AO17" s="586">
        <f t="shared" si="15"/>
        <v>896368.70000000007</v>
      </c>
      <c r="AP17" s="586">
        <f t="shared" si="15"/>
        <v>1077103.8999999999</v>
      </c>
      <c r="AQ17" s="211" t="s">
        <v>742</v>
      </c>
      <c r="AR17" s="568">
        <v>9546.6</v>
      </c>
      <c r="AS17" s="568">
        <v>32179.5</v>
      </c>
      <c r="AT17" s="568">
        <v>24307.9</v>
      </c>
      <c r="AU17" s="568">
        <v>57.3</v>
      </c>
      <c r="AV17" s="568">
        <f>1038550.5-28.02</f>
        <v>1038522.48</v>
      </c>
      <c r="AW17" s="568">
        <v>7473.5</v>
      </c>
      <c r="AX17" s="568">
        <f t="shared" ref="AX17:AX53" si="16">AV17+AW17</f>
        <v>1045995.98</v>
      </c>
      <c r="AY17" s="568">
        <f>0.055*AX14</f>
        <v>52158.843549999998</v>
      </c>
      <c r="AZ17" s="568">
        <f t="shared" ref="AZ17:AZ28" si="17">BA17-AY17</f>
        <v>17256.766450000003</v>
      </c>
      <c r="BA17" s="568">
        <f>69416.6-0.99</f>
        <v>69415.61</v>
      </c>
      <c r="BB17" s="568">
        <v>2714235.3</v>
      </c>
      <c r="BC17" s="568">
        <f t="shared" ref="BC17:BC28" si="18">L17+BA17</f>
        <v>220435.40999999997</v>
      </c>
      <c r="BD17" s="568">
        <v>0</v>
      </c>
      <c r="BE17" s="568">
        <v>14845.9</v>
      </c>
      <c r="BF17" s="568">
        <v>5138</v>
      </c>
      <c r="BG17" s="568">
        <v>158469.4</v>
      </c>
      <c r="BH17" s="568">
        <f t="shared" ref="BH17:BH53" si="19">BG17+BF17+BE17+BD17</f>
        <v>178453.3</v>
      </c>
      <c r="BI17" s="211" t="s">
        <v>742</v>
      </c>
      <c r="BJ17" s="325">
        <v>2.41</v>
      </c>
      <c r="BK17" s="325">
        <v>1.48</v>
      </c>
      <c r="BL17" s="325">
        <v>-0.67</v>
      </c>
      <c r="BM17" s="325">
        <v>-0.34</v>
      </c>
      <c r="BN17" s="325">
        <v>-0.34</v>
      </c>
      <c r="BO17" s="325" t="s">
        <v>430</v>
      </c>
      <c r="BP17" s="325" t="s">
        <v>430</v>
      </c>
      <c r="BQ17" s="477" t="s">
        <v>430</v>
      </c>
      <c r="BR17" s="477">
        <v>10131</v>
      </c>
      <c r="BS17" s="477">
        <v>3741</v>
      </c>
      <c r="BT17" s="325">
        <f t="shared" ref="BT17:BT40" si="20">AP17/AV17*100</f>
        <v>103.71502983738974</v>
      </c>
      <c r="BU17" s="325">
        <f t="shared" ref="BU17:BU28" si="21">AV17/BR17</f>
        <v>102.50937518507551</v>
      </c>
      <c r="BV17" s="325">
        <f t="shared" ref="BV17:BV28" si="22">AP17/BR17</f>
        <v>106.31762905932285</v>
      </c>
      <c r="BW17" s="325">
        <f t="shared" ref="BW17:BW28" si="23">(M17+BA17)/AV17*100</f>
        <v>7.9664245688740403</v>
      </c>
      <c r="BX17" s="325">
        <v>5</v>
      </c>
      <c r="BY17" s="325">
        <v>5.4</v>
      </c>
      <c r="BZ17" s="325">
        <v>9.7100000000000009</v>
      </c>
      <c r="CA17" s="325">
        <f t="shared" ref="CA17:CA53" si="24">BZ17-BY17</f>
        <v>4.3100000000000005</v>
      </c>
      <c r="CB17" s="325">
        <v>10.0946338</v>
      </c>
      <c r="CC17" s="325">
        <v>12.848167699999999</v>
      </c>
      <c r="CD17" s="325">
        <f t="shared" ref="CD17:CD53" si="25">CC17-CB17</f>
        <v>2.753533899999999</v>
      </c>
    </row>
    <row r="18" spans="1:82" s="557" customFormat="1" ht="10.5" customHeight="1">
      <c r="A18" s="548"/>
      <c r="B18" s="548"/>
      <c r="C18" s="548"/>
      <c r="D18" s="548"/>
      <c r="E18" s="548"/>
      <c r="F18" s="548"/>
      <c r="G18" s="548"/>
      <c r="H18" s="548"/>
      <c r="I18" s="493" t="s">
        <v>743</v>
      </c>
      <c r="J18" s="562">
        <v>166059.1</v>
      </c>
      <c r="K18" s="562">
        <v>1527.6</v>
      </c>
      <c r="L18" s="562">
        <f t="shared" si="6"/>
        <v>167586.70000000001</v>
      </c>
      <c r="M18" s="562">
        <v>14192.1</v>
      </c>
      <c r="N18" s="562">
        <f t="shared" si="7"/>
        <v>153394.6</v>
      </c>
      <c r="O18" s="562">
        <v>31471.8</v>
      </c>
      <c r="P18" s="562">
        <v>71608</v>
      </c>
      <c r="Q18" s="562">
        <v>103018.3</v>
      </c>
      <c r="R18" s="562">
        <v>866797.8</v>
      </c>
      <c r="S18" s="562">
        <f t="shared" si="8"/>
        <v>969816.10000000009</v>
      </c>
      <c r="T18" s="562">
        <f t="shared" si="9"/>
        <v>1041424.1000000001</v>
      </c>
      <c r="U18" s="562">
        <v>743.6</v>
      </c>
      <c r="V18" s="562">
        <v>234370.80000000002</v>
      </c>
      <c r="W18" s="562">
        <f t="shared" si="10"/>
        <v>257156.50000000003</v>
      </c>
      <c r="X18" s="562">
        <f t="shared" si="11"/>
        <v>1123954.3</v>
      </c>
      <c r="Y18" s="562">
        <v>1396923.4000000001</v>
      </c>
      <c r="Z18" s="376" t="s">
        <v>743</v>
      </c>
      <c r="AA18" s="361">
        <v>0</v>
      </c>
      <c r="AB18" s="562">
        <v>18699.599999999999</v>
      </c>
      <c r="AC18" s="562">
        <v>862163.9</v>
      </c>
      <c r="AD18" s="562">
        <f t="shared" si="12"/>
        <v>880863.5</v>
      </c>
      <c r="AE18" s="361">
        <v>0</v>
      </c>
      <c r="AF18" s="562">
        <v>1983.3</v>
      </c>
      <c r="AG18" s="562">
        <v>26084.799999999999</v>
      </c>
      <c r="AH18" s="562">
        <f t="shared" si="13"/>
        <v>28068.1</v>
      </c>
      <c r="AI18" s="566">
        <v>18768.099999999999</v>
      </c>
      <c r="AJ18" s="566">
        <v>158847.9</v>
      </c>
      <c r="AK18" s="566">
        <v>16866.5</v>
      </c>
      <c r="AL18" s="566">
        <f t="shared" si="14"/>
        <v>175714.4</v>
      </c>
      <c r="AM18" s="566">
        <f t="shared" si="15"/>
        <v>18768.099999999999</v>
      </c>
      <c r="AN18" s="566">
        <f t="shared" si="15"/>
        <v>179530.8</v>
      </c>
      <c r="AO18" s="566">
        <f t="shared" si="15"/>
        <v>905115.20000000007</v>
      </c>
      <c r="AP18" s="566">
        <f t="shared" si="15"/>
        <v>1084646</v>
      </c>
      <c r="AQ18" s="376" t="s">
        <v>743</v>
      </c>
      <c r="AR18" s="562">
        <v>8148.7</v>
      </c>
      <c r="AS18" s="562">
        <v>31895.5</v>
      </c>
      <c r="AT18" s="562">
        <v>31233.599999999999</v>
      </c>
      <c r="AU18" s="562">
        <v>46.3</v>
      </c>
      <c r="AV18" s="562">
        <f>1041472-27.72</f>
        <v>1041444.28</v>
      </c>
      <c r="AW18" s="562">
        <v>9970.2999999999993</v>
      </c>
      <c r="AX18" s="562">
        <f t="shared" si="16"/>
        <v>1051414.58</v>
      </c>
      <c r="AY18" s="562">
        <f>0.055*AX15</f>
        <v>57843.008300000001</v>
      </c>
      <c r="AZ18" s="562">
        <f t="shared" si="17"/>
        <v>8196.8316999999952</v>
      </c>
      <c r="BA18" s="562">
        <f>66040.5-0.66</f>
        <v>66039.839999999997</v>
      </c>
      <c r="BB18" s="562">
        <v>2758949.3</v>
      </c>
      <c r="BC18" s="562">
        <f t="shared" si="18"/>
        <v>233626.54</v>
      </c>
      <c r="BD18" s="562">
        <v>3988.8</v>
      </c>
      <c r="BE18" s="562">
        <v>14888.3</v>
      </c>
      <c r="BF18" s="562">
        <v>5056.2</v>
      </c>
      <c r="BG18" s="562">
        <v>157407.70000000001</v>
      </c>
      <c r="BH18" s="562">
        <f t="shared" si="19"/>
        <v>181341</v>
      </c>
      <c r="BI18" s="376" t="s">
        <v>743</v>
      </c>
      <c r="BJ18" s="367">
        <v>7.16</v>
      </c>
      <c r="BK18" s="367">
        <v>1.18</v>
      </c>
      <c r="BL18" s="367">
        <v>0.28999999999999998</v>
      </c>
      <c r="BM18" s="367">
        <v>0.95</v>
      </c>
      <c r="BN18" s="367">
        <v>1.26</v>
      </c>
      <c r="BO18" s="367" t="s">
        <v>430</v>
      </c>
      <c r="BP18" s="367" t="s">
        <v>430</v>
      </c>
      <c r="BQ18" s="368" t="s">
        <v>430</v>
      </c>
      <c r="BR18" s="368">
        <v>10143</v>
      </c>
      <c r="BS18" s="368">
        <v>3741</v>
      </c>
      <c r="BT18" s="367">
        <f t="shared" si="20"/>
        <v>104.14825073502732</v>
      </c>
      <c r="BU18" s="367">
        <f t="shared" si="21"/>
        <v>102.67615892733906</v>
      </c>
      <c r="BV18" s="367">
        <f t="shared" si="22"/>
        <v>106.93542344474021</v>
      </c>
      <c r="BW18" s="367">
        <f t="shared" si="23"/>
        <v>7.7039109571949442</v>
      </c>
      <c r="BX18" s="367">
        <v>5</v>
      </c>
      <c r="BY18" s="367">
        <v>5.36</v>
      </c>
      <c r="BZ18" s="367">
        <v>9.6300000000000008</v>
      </c>
      <c r="CA18" s="367">
        <f t="shared" si="24"/>
        <v>4.2700000000000005</v>
      </c>
      <c r="CB18" s="367">
        <v>9.98</v>
      </c>
      <c r="CC18" s="367">
        <v>12.86</v>
      </c>
      <c r="CD18" s="367">
        <f t="shared" si="25"/>
        <v>2.879999999999999</v>
      </c>
    </row>
    <row r="19" spans="1:82" s="557" customFormat="1" ht="10.5" customHeight="1">
      <c r="A19" s="548"/>
      <c r="B19" s="548"/>
      <c r="C19" s="548"/>
      <c r="D19" s="548"/>
      <c r="E19" s="548"/>
      <c r="F19" s="548"/>
      <c r="G19" s="548"/>
      <c r="H19" s="548"/>
      <c r="I19" s="479" t="s">
        <v>737</v>
      </c>
      <c r="J19" s="568">
        <v>153996</v>
      </c>
      <c r="K19" s="568">
        <v>1525.4</v>
      </c>
      <c r="L19" s="568">
        <f t="shared" si="6"/>
        <v>155521.4</v>
      </c>
      <c r="M19" s="568">
        <v>14502.5</v>
      </c>
      <c r="N19" s="568">
        <f t="shared" si="7"/>
        <v>141018.9</v>
      </c>
      <c r="O19" s="568">
        <v>30922.9</v>
      </c>
      <c r="P19" s="568">
        <v>71586.899999999994</v>
      </c>
      <c r="Q19" s="568">
        <v>103162.1</v>
      </c>
      <c r="R19" s="568">
        <v>873958.6</v>
      </c>
      <c r="S19" s="568">
        <f t="shared" si="8"/>
        <v>977120.7</v>
      </c>
      <c r="T19" s="568">
        <f t="shared" si="9"/>
        <v>1048707.5999999999</v>
      </c>
      <c r="U19" s="568">
        <v>755</v>
      </c>
      <c r="V19" s="568">
        <v>228487.2</v>
      </c>
      <c r="W19" s="568">
        <f t="shared" si="10"/>
        <v>244936</v>
      </c>
      <c r="X19" s="568">
        <f t="shared" si="11"/>
        <v>1118894.6000000001</v>
      </c>
      <c r="Y19" s="568">
        <v>1396812.1</v>
      </c>
      <c r="Z19" s="211" t="s">
        <v>737</v>
      </c>
      <c r="AA19" s="294">
        <v>0</v>
      </c>
      <c r="AB19" s="568">
        <v>18624.400000000001</v>
      </c>
      <c r="AC19" s="568">
        <v>872385</v>
      </c>
      <c r="AD19" s="568">
        <f t="shared" si="12"/>
        <v>891009.4</v>
      </c>
      <c r="AE19" s="294">
        <v>0</v>
      </c>
      <c r="AF19" s="568">
        <v>1875.1</v>
      </c>
      <c r="AG19" s="568">
        <v>24361.4</v>
      </c>
      <c r="AH19" s="568">
        <f t="shared" si="13"/>
        <v>26236.5</v>
      </c>
      <c r="AI19" s="586">
        <v>18777.5</v>
      </c>
      <c r="AJ19" s="586">
        <v>160233.70000000001</v>
      </c>
      <c r="AK19" s="586">
        <v>16995.900000000001</v>
      </c>
      <c r="AL19" s="586">
        <f t="shared" si="14"/>
        <v>177229.6</v>
      </c>
      <c r="AM19" s="586">
        <f t="shared" si="15"/>
        <v>18777.5</v>
      </c>
      <c r="AN19" s="586">
        <f t="shared" si="15"/>
        <v>180733.2</v>
      </c>
      <c r="AO19" s="586">
        <f t="shared" si="15"/>
        <v>913742.3</v>
      </c>
      <c r="AP19" s="586">
        <f t="shared" si="15"/>
        <v>1094475.5</v>
      </c>
      <c r="AQ19" s="211" t="s">
        <v>737</v>
      </c>
      <c r="AR19" s="568">
        <v>8587.4</v>
      </c>
      <c r="AS19" s="568">
        <v>31971</v>
      </c>
      <c r="AT19" s="568">
        <v>28484.9</v>
      </c>
      <c r="AU19" s="568">
        <v>52.9</v>
      </c>
      <c r="AV19" s="568">
        <f>1048755.5-14.3</f>
        <v>1048741.2</v>
      </c>
      <c r="AW19" s="568">
        <v>8118.6</v>
      </c>
      <c r="AX19" s="568">
        <f t="shared" si="16"/>
        <v>1056859.8</v>
      </c>
      <c r="AY19" s="568">
        <f>0.055*AX17</f>
        <v>57529.778899999998</v>
      </c>
      <c r="AZ19" s="568">
        <f t="shared" si="17"/>
        <v>14680.361100000002</v>
      </c>
      <c r="BA19" s="568">
        <f>72210.8-0.66</f>
        <v>72210.14</v>
      </c>
      <c r="BB19" s="568">
        <v>2779139.5</v>
      </c>
      <c r="BC19" s="568">
        <f t="shared" si="18"/>
        <v>227731.53999999998</v>
      </c>
      <c r="BD19" s="568">
        <v>0</v>
      </c>
      <c r="BE19" s="568">
        <v>14375</v>
      </c>
      <c r="BF19" s="568">
        <v>4661.7</v>
      </c>
      <c r="BG19" s="568">
        <v>158802.4</v>
      </c>
      <c r="BH19" s="568">
        <f t="shared" si="19"/>
        <v>177839.1</v>
      </c>
      <c r="BI19" s="211" t="s">
        <v>737</v>
      </c>
      <c r="BJ19" s="325">
        <v>0.84</v>
      </c>
      <c r="BK19" s="325">
        <v>2.25</v>
      </c>
      <c r="BL19" s="325">
        <v>1.24</v>
      </c>
      <c r="BM19" s="325">
        <v>1.22</v>
      </c>
      <c r="BN19" s="325">
        <v>0.8</v>
      </c>
      <c r="BO19" s="325" t="s">
        <v>430</v>
      </c>
      <c r="BP19" s="325" t="s">
        <v>430</v>
      </c>
      <c r="BQ19" s="477" t="s">
        <v>430</v>
      </c>
      <c r="BR19" s="477">
        <v>10159</v>
      </c>
      <c r="BS19" s="477">
        <v>3743</v>
      </c>
      <c r="BT19" s="325">
        <f t="shared" si="20"/>
        <v>104.36087568601292</v>
      </c>
      <c r="BU19" s="325">
        <f t="shared" si="21"/>
        <v>103.23271975588148</v>
      </c>
      <c r="BV19" s="325">
        <f t="shared" si="22"/>
        <v>107.73457033172556</v>
      </c>
      <c r="BW19" s="325">
        <f t="shared" si="23"/>
        <v>8.2682591281814801</v>
      </c>
      <c r="BX19" s="325">
        <v>5</v>
      </c>
      <c r="BY19" s="325">
        <v>5.27</v>
      </c>
      <c r="BZ19" s="325">
        <v>9.5399999999999991</v>
      </c>
      <c r="CA19" s="325">
        <f t="shared" si="24"/>
        <v>4.2699999999999996</v>
      </c>
      <c r="CB19" s="325">
        <v>9.8800000000000008</v>
      </c>
      <c r="CC19" s="325">
        <v>12.79</v>
      </c>
      <c r="CD19" s="325">
        <f t="shared" si="25"/>
        <v>2.9099999999999984</v>
      </c>
    </row>
    <row r="20" spans="1:82" s="557" customFormat="1" ht="10.5" customHeight="1">
      <c r="A20" s="548"/>
      <c r="B20" s="548"/>
      <c r="C20" s="548"/>
      <c r="D20" s="548"/>
      <c r="E20" s="548"/>
      <c r="F20" s="548"/>
      <c r="G20" s="548"/>
      <c r="H20" s="548"/>
      <c r="I20" s="493" t="s">
        <v>744</v>
      </c>
      <c r="J20" s="562">
        <v>150900.6</v>
      </c>
      <c r="K20" s="562">
        <v>1523.6</v>
      </c>
      <c r="L20" s="562">
        <f t="shared" si="6"/>
        <v>152424.20000000001</v>
      </c>
      <c r="M20" s="562">
        <v>13346.1</v>
      </c>
      <c r="N20" s="562">
        <f t="shared" si="7"/>
        <v>139078.1</v>
      </c>
      <c r="O20" s="562">
        <v>32478.1</v>
      </c>
      <c r="P20" s="562">
        <v>75151.100000000006</v>
      </c>
      <c r="Q20" s="562">
        <v>104949.5</v>
      </c>
      <c r="R20" s="562">
        <v>881083.1</v>
      </c>
      <c r="S20" s="562">
        <f t="shared" si="8"/>
        <v>986032.6</v>
      </c>
      <c r="T20" s="562">
        <f t="shared" si="9"/>
        <v>1061183.7</v>
      </c>
      <c r="U20" s="562">
        <v>714.3</v>
      </c>
      <c r="V20" s="562">
        <v>228118.2</v>
      </c>
      <c r="W20" s="562">
        <f t="shared" si="10"/>
        <v>244741.9</v>
      </c>
      <c r="X20" s="562">
        <f t="shared" si="11"/>
        <v>1125825</v>
      </c>
      <c r="Y20" s="562">
        <v>1407894.9</v>
      </c>
      <c r="Z20" s="376" t="s">
        <v>744</v>
      </c>
      <c r="AA20" s="361">
        <v>0</v>
      </c>
      <c r="AB20" s="562">
        <v>18982.5</v>
      </c>
      <c r="AC20" s="562">
        <v>885427.1</v>
      </c>
      <c r="AD20" s="562">
        <f t="shared" si="12"/>
        <v>904409.59999999998</v>
      </c>
      <c r="AE20" s="361">
        <v>0</v>
      </c>
      <c r="AF20" s="562">
        <v>1820.8</v>
      </c>
      <c r="AG20" s="562">
        <v>24924</v>
      </c>
      <c r="AH20" s="562">
        <f t="shared" si="13"/>
        <v>26744.799999999999</v>
      </c>
      <c r="AI20" s="566">
        <v>19271.900000000001</v>
      </c>
      <c r="AJ20" s="566">
        <v>159600.1</v>
      </c>
      <c r="AK20" s="566">
        <v>17024.900000000001</v>
      </c>
      <c r="AL20" s="566">
        <f t="shared" si="14"/>
        <v>176625</v>
      </c>
      <c r="AM20" s="566">
        <f t="shared" si="15"/>
        <v>19271.900000000001</v>
      </c>
      <c r="AN20" s="566">
        <f t="shared" si="15"/>
        <v>180403.4</v>
      </c>
      <c r="AO20" s="566">
        <f t="shared" si="15"/>
        <v>927376</v>
      </c>
      <c r="AP20" s="566">
        <f t="shared" si="15"/>
        <v>1107779.3999999999</v>
      </c>
      <c r="AQ20" s="376" t="s">
        <v>744</v>
      </c>
      <c r="AR20" s="562">
        <v>8179.4</v>
      </c>
      <c r="AS20" s="562">
        <v>32023.8</v>
      </c>
      <c r="AT20" s="562">
        <v>26793.8</v>
      </c>
      <c r="AU20" s="562">
        <v>52.1</v>
      </c>
      <c r="AV20" s="562">
        <f>1061231.7-27.52</f>
        <v>1061204.18</v>
      </c>
      <c r="AW20" s="562">
        <v>8491.5</v>
      </c>
      <c r="AX20" s="562">
        <f t="shared" si="16"/>
        <v>1069695.68</v>
      </c>
      <c r="AY20" s="562">
        <f t="shared" ref="AY20:AY27" si="26">0.055*AX18</f>
        <v>57827.801900000006</v>
      </c>
      <c r="AZ20" s="562">
        <f t="shared" si="17"/>
        <v>17148.748099999997</v>
      </c>
      <c r="BA20" s="562">
        <f>74979.7-3.15</f>
        <v>74976.55</v>
      </c>
      <c r="BB20" s="562">
        <v>2824513.3</v>
      </c>
      <c r="BC20" s="562">
        <f t="shared" si="18"/>
        <v>227400.75</v>
      </c>
      <c r="BD20" s="562">
        <v>1763.7</v>
      </c>
      <c r="BE20" s="562">
        <v>14378.3</v>
      </c>
      <c r="BF20" s="562">
        <v>4371.8999999999996</v>
      </c>
      <c r="BG20" s="562">
        <v>158169.79999999999</v>
      </c>
      <c r="BH20" s="562">
        <f t="shared" si="19"/>
        <v>178683.69999999998</v>
      </c>
      <c r="BI20" s="376" t="s">
        <v>744</v>
      </c>
      <c r="BJ20" s="367">
        <v>0.82</v>
      </c>
      <c r="BK20" s="367">
        <v>5.36</v>
      </c>
      <c r="BL20" s="367">
        <v>2.73</v>
      </c>
      <c r="BM20" s="367">
        <v>2.61</v>
      </c>
      <c r="BN20" s="367">
        <v>1.43</v>
      </c>
      <c r="BO20" s="367" t="s">
        <v>430</v>
      </c>
      <c r="BP20" s="367" t="s">
        <v>430</v>
      </c>
      <c r="BQ20" s="368" t="s">
        <v>430</v>
      </c>
      <c r="BR20" s="368">
        <v>10178</v>
      </c>
      <c r="BS20" s="368">
        <v>3743</v>
      </c>
      <c r="BT20" s="367">
        <f t="shared" si="20"/>
        <v>104.38890280285176</v>
      </c>
      <c r="BU20" s="367">
        <f t="shared" si="21"/>
        <v>104.26450972686185</v>
      </c>
      <c r="BV20" s="367">
        <f t="shared" si="22"/>
        <v>108.84057771664374</v>
      </c>
      <c r="BW20" s="367">
        <f t="shared" si="23"/>
        <v>8.3228705337364968</v>
      </c>
      <c r="BX20" s="367">
        <v>5</v>
      </c>
      <c r="BY20" s="367">
        <v>5.25</v>
      </c>
      <c r="BZ20" s="367">
        <v>9.4700000000000006</v>
      </c>
      <c r="CA20" s="367">
        <f t="shared" si="24"/>
        <v>4.2200000000000006</v>
      </c>
      <c r="CB20" s="367">
        <v>9.89</v>
      </c>
      <c r="CC20" s="367">
        <v>12.68</v>
      </c>
      <c r="CD20" s="367">
        <f t="shared" si="25"/>
        <v>2.7899999999999991</v>
      </c>
    </row>
    <row r="21" spans="1:82" ht="10.5" customHeight="1">
      <c r="A21" s="9"/>
      <c r="B21" s="9"/>
      <c r="C21" s="9"/>
      <c r="D21" s="9"/>
      <c r="E21" s="9"/>
      <c r="F21" s="9"/>
      <c r="G21" s="9"/>
      <c r="H21" s="9"/>
      <c r="I21" s="211" t="s">
        <v>745</v>
      </c>
      <c r="J21" s="568">
        <v>150750.70000000001</v>
      </c>
      <c r="K21" s="568">
        <v>1521.3</v>
      </c>
      <c r="L21" s="568">
        <f t="shared" si="6"/>
        <v>152272</v>
      </c>
      <c r="M21" s="568">
        <v>13162.8</v>
      </c>
      <c r="N21" s="568">
        <f t="shared" si="7"/>
        <v>139109.20000000001</v>
      </c>
      <c r="O21" s="568">
        <v>31948.6</v>
      </c>
      <c r="P21" s="568">
        <v>76461.399999999994</v>
      </c>
      <c r="Q21" s="568">
        <v>104361.1</v>
      </c>
      <c r="R21" s="568">
        <v>887329.3</v>
      </c>
      <c r="S21" s="568">
        <f t="shared" si="8"/>
        <v>991690.4</v>
      </c>
      <c r="T21" s="568">
        <f t="shared" si="9"/>
        <v>1068151.8</v>
      </c>
      <c r="U21" s="568">
        <v>703.6</v>
      </c>
      <c r="V21" s="568">
        <v>225327.6</v>
      </c>
      <c r="W21" s="568">
        <f t="shared" si="10"/>
        <v>244173.90000000002</v>
      </c>
      <c r="X21" s="568">
        <f t="shared" si="11"/>
        <v>1131503.2000000002</v>
      </c>
      <c r="Y21" s="568">
        <v>1417579.5999999999</v>
      </c>
      <c r="Z21" s="211" t="s">
        <v>745</v>
      </c>
      <c r="AA21" s="294">
        <v>0</v>
      </c>
      <c r="AB21" s="568">
        <v>19591.900000000001</v>
      </c>
      <c r="AC21" s="568">
        <v>895052.80000000005</v>
      </c>
      <c r="AD21" s="568">
        <f t="shared" si="12"/>
        <v>914644.70000000007</v>
      </c>
      <c r="AE21" s="294">
        <v>0</v>
      </c>
      <c r="AF21" s="568">
        <v>1768.3</v>
      </c>
      <c r="AG21" s="568">
        <v>25837.599999999999</v>
      </c>
      <c r="AH21" s="568">
        <f t="shared" si="13"/>
        <v>27605.899999999998</v>
      </c>
      <c r="AI21" s="586">
        <v>19294.2</v>
      </c>
      <c r="AJ21" s="586">
        <v>162555.6</v>
      </c>
      <c r="AK21" s="586">
        <v>16958.099999999999</v>
      </c>
      <c r="AL21" s="586">
        <f t="shared" si="14"/>
        <v>179513.7</v>
      </c>
      <c r="AM21" s="586">
        <f t="shared" si="15"/>
        <v>19294.2</v>
      </c>
      <c r="AN21" s="586">
        <f t="shared" si="15"/>
        <v>183915.80000000002</v>
      </c>
      <c r="AO21" s="586">
        <f t="shared" si="15"/>
        <v>937848.5</v>
      </c>
      <c r="AP21" s="586">
        <f t="shared" si="15"/>
        <v>1121764.3</v>
      </c>
      <c r="AQ21" s="211" t="s">
        <v>745</v>
      </c>
      <c r="AR21" s="568">
        <v>7981.7</v>
      </c>
      <c r="AS21" s="568">
        <v>32127.1</v>
      </c>
      <c r="AT21" s="568">
        <v>28066.799999999999</v>
      </c>
      <c r="AU21" s="568">
        <v>51.8</v>
      </c>
      <c r="AV21" s="568">
        <f>1068199.8-27.1</f>
        <v>1068172.7</v>
      </c>
      <c r="AW21" s="568">
        <v>7422.4</v>
      </c>
      <c r="AX21" s="568">
        <f t="shared" si="16"/>
        <v>1075595.0999999999</v>
      </c>
      <c r="AY21" s="568">
        <f t="shared" si="26"/>
        <v>58127.289000000004</v>
      </c>
      <c r="AZ21" s="568">
        <f t="shared" si="17"/>
        <v>14219.591</v>
      </c>
      <c r="BA21" s="568">
        <f>72352-5.12</f>
        <v>72346.880000000005</v>
      </c>
      <c r="BB21" s="568">
        <v>2872372.7</v>
      </c>
      <c r="BC21" s="568">
        <f t="shared" si="18"/>
        <v>224618.88</v>
      </c>
      <c r="BD21" s="568">
        <v>3491.5</v>
      </c>
      <c r="BE21" s="568">
        <v>14435.8</v>
      </c>
      <c r="BF21" s="568">
        <v>4265.5</v>
      </c>
      <c r="BG21" s="568">
        <v>160425.70000000001</v>
      </c>
      <c r="BH21" s="568">
        <f t="shared" si="19"/>
        <v>182618.5</v>
      </c>
      <c r="BI21" s="211" t="s">
        <v>745</v>
      </c>
      <c r="BJ21" s="325">
        <v>3.05</v>
      </c>
      <c r="BK21" s="325">
        <v>12.47</v>
      </c>
      <c r="BL21" s="325">
        <v>3.89</v>
      </c>
      <c r="BM21" s="325">
        <v>3.97</v>
      </c>
      <c r="BN21" s="325">
        <v>1.94</v>
      </c>
      <c r="BO21" s="325" t="s">
        <v>430</v>
      </c>
      <c r="BP21" s="325" t="s">
        <v>430</v>
      </c>
      <c r="BQ21" s="477" t="s">
        <v>430</v>
      </c>
      <c r="BR21" s="477">
        <v>10208</v>
      </c>
      <c r="BS21" s="477">
        <v>3744</v>
      </c>
      <c r="BT21" s="325">
        <f t="shared" si="20"/>
        <v>105.01712878451211</v>
      </c>
      <c r="BU21" s="325">
        <f t="shared" si="21"/>
        <v>104.64074255485893</v>
      </c>
      <c r="BV21" s="325">
        <f t="shared" si="22"/>
        <v>109.89070336990596</v>
      </c>
      <c r="BW21" s="325">
        <f t="shared" si="23"/>
        <v>8.0052298659196222</v>
      </c>
      <c r="BX21" s="325">
        <v>5</v>
      </c>
      <c r="BY21" s="325">
        <v>5.3</v>
      </c>
      <c r="BZ21" s="325">
        <v>9.5</v>
      </c>
      <c r="CA21" s="325">
        <f t="shared" si="24"/>
        <v>4.2</v>
      </c>
      <c r="CB21" s="325">
        <v>9.9</v>
      </c>
      <c r="CC21" s="325">
        <v>12.68</v>
      </c>
      <c r="CD21" s="325">
        <f t="shared" si="25"/>
        <v>2.7799999999999994</v>
      </c>
    </row>
    <row r="22" spans="1:82" ht="10.5" customHeight="1">
      <c r="A22" s="9"/>
      <c r="B22" s="9"/>
      <c r="C22" s="9"/>
      <c r="D22" s="9"/>
      <c r="E22" s="9"/>
      <c r="F22" s="9"/>
      <c r="G22" s="9"/>
      <c r="H22" s="9"/>
      <c r="I22" s="376" t="s">
        <v>738</v>
      </c>
      <c r="J22" s="562">
        <v>156833</v>
      </c>
      <c r="K22" s="562">
        <v>1528</v>
      </c>
      <c r="L22" s="562">
        <f t="shared" si="6"/>
        <v>158361</v>
      </c>
      <c r="M22" s="562">
        <v>13681.9</v>
      </c>
      <c r="N22" s="562">
        <f t="shared" si="7"/>
        <v>144679.1</v>
      </c>
      <c r="O22" s="562">
        <v>37211.800000000003</v>
      </c>
      <c r="P22" s="562">
        <v>77333</v>
      </c>
      <c r="Q22" s="562">
        <v>110076.3</v>
      </c>
      <c r="R22" s="562">
        <v>899904.7</v>
      </c>
      <c r="S22" s="562">
        <f t="shared" si="8"/>
        <v>1009981</v>
      </c>
      <c r="T22" s="562">
        <f t="shared" si="9"/>
        <v>1087314</v>
      </c>
      <c r="U22" s="562">
        <v>700.6</v>
      </c>
      <c r="V22" s="562">
        <v>234657.9</v>
      </c>
      <c r="W22" s="562">
        <f t="shared" si="10"/>
        <v>255456.00000000003</v>
      </c>
      <c r="X22" s="562">
        <f t="shared" si="11"/>
        <v>1155360.7</v>
      </c>
      <c r="Y22" s="562">
        <v>1445300.7999999998</v>
      </c>
      <c r="Z22" s="376" t="s">
        <v>738</v>
      </c>
      <c r="AA22" s="361">
        <v>0</v>
      </c>
      <c r="AB22" s="562">
        <v>21813.5</v>
      </c>
      <c r="AC22" s="562">
        <v>910864.8</v>
      </c>
      <c r="AD22" s="562">
        <f t="shared" si="12"/>
        <v>932678.3</v>
      </c>
      <c r="AE22" s="361">
        <v>0</v>
      </c>
      <c r="AF22" s="562">
        <v>1614.5</v>
      </c>
      <c r="AG22" s="562">
        <v>26169.200000000001</v>
      </c>
      <c r="AH22" s="562">
        <f t="shared" si="13"/>
        <v>27783.7</v>
      </c>
      <c r="AI22" s="566">
        <v>24879.7</v>
      </c>
      <c r="AJ22" s="566">
        <v>158783.9</v>
      </c>
      <c r="AK22" s="566">
        <v>16838.400000000001</v>
      </c>
      <c r="AL22" s="566">
        <f t="shared" si="14"/>
        <v>175622.3</v>
      </c>
      <c r="AM22" s="566">
        <f t="shared" si="15"/>
        <v>24879.7</v>
      </c>
      <c r="AN22" s="566">
        <f t="shared" si="15"/>
        <v>182211.9</v>
      </c>
      <c r="AO22" s="566">
        <f t="shared" si="15"/>
        <v>953872.4</v>
      </c>
      <c r="AP22" s="566">
        <f t="shared" si="15"/>
        <v>1136084.3</v>
      </c>
      <c r="AQ22" s="376" t="s">
        <v>738</v>
      </c>
      <c r="AR22" s="562">
        <v>8743.2000000000007</v>
      </c>
      <c r="AS22" s="562">
        <v>32933.800000000003</v>
      </c>
      <c r="AT22" s="562">
        <v>29040</v>
      </c>
      <c r="AU22" s="562">
        <v>51.5</v>
      </c>
      <c r="AV22" s="562">
        <f>1087362.3-27.11</f>
        <v>1087335.19</v>
      </c>
      <c r="AW22" s="562">
        <v>7250.4</v>
      </c>
      <c r="AX22" s="562">
        <f t="shared" si="16"/>
        <v>1094585.5899999999</v>
      </c>
      <c r="AY22" s="562">
        <f t="shared" si="26"/>
        <v>58833.2624</v>
      </c>
      <c r="AZ22" s="562">
        <f t="shared" si="17"/>
        <v>16760.047599999998</v>
      </c>
      <c r="BA22" s="562">
        <f>75596.3-2.99</f>
        <v>75593.31</v>
      </c>
      <c r="BB22" s="562">
        <v>2750449.8</v>
      </c>
      <c r="BC22" s="562">
        <f t="shared" si="18"/>
        <v>233954.31</v>
      </c>
      <c r="BD22" s="562">
        <v>2859.7</v>
      </c>
      <c r="BE22" s="562">
        <v>19724.599999999999</v>
      </c>
      <c r="BF22" s="562">
        <v>5145.1000000000004</v>
      </c>
      <c r="BG22" s="562">
        <v>156093.6</v>
      </c>
      <c r="BH22" s="562">
        <f t="shared" si="19"/>
        <v>183823.00000000003</v>
      </c>
      <c r="BI22" s="376" t="s">
        <v>738</v>
      </c>
      <c r="BJ22" s="367">
        <v>3.43</v>
      </c>
      <c r="BK22" s="367">
        <v>21.6</v>
      </c>
      <c r="BL22" s="367">
        <v>5.65</v>
      </c>
      <c r="BM22" s="367">
        <v>5.75</v>
      </c>
      <c r="BN22" s="367">
        <v>4.09</v>
      </c>
      <c r="BO22" s="367" t="s">
        <v>430</v>
      </c>
      <c r="BP22" s="367" t="s">
        <v>430</v>
      </c>
      <c r="BQ22" s="368" t="s">
        <v>430</v>
      </c>
      <c r="BR22" s="368">
        <v>10286</v>
      </c>
      <c r="BS22" s="368">
        <v>3746</v>
      </c>
      <c r="BT22" s="367">
        <f t="shared" si="20"/>
        <v>104.48335623166946</v>
      </c>
      <c r="BU22" s="367">
        <f t="shared" si="21"/>
        <v>105.71020707758117</v>
      </c>
      <c r="BV22" s="367">
        <f t="shared" si="22"/>
        <v>110.44957223410461</v>
      </c>
      <c r="BW22" s="367">
        <f t="shared" si="23"/>
        <v>8.2104590029869264</v>
      </c>
      <c r="BX22" s="367">
        <v>5</v>
      </c>
      <c r="BY22" s="367">
        <v>5.26</v>
      </c>
      <c r="BZ22" s="367">
        <v>9.49</v>
      </c>
      <c r="CA22" s="367">
        <f t="shared" si="24"/>
        <v>4.2300000000000004</v>
      </c>
      <c r="CB22" s="367">
        <v>9.9499999999999993</v>
      </c>
      <c r="CC22" s="367">
        <v>12.65</v>
      </c>
      <c r="CD22" s="367">
        <f t="shared" si="25"/>
        <v>2.7000000000000011</v>
      </c>
    </row>
    <row r="23" spans="1:82" s="213" customFormat="1" ht="10.5" customHeight="1">
      <c r="A23" s="211"/>
      <c r="B23" s="211"/>
      <c r="C23" s="211"/>
      <c r="D23" s="211"/>
      <c r="E23" s="211"/>
      <c r="F23" s="211"/>
      <c r="G23" s="211"/>
      <c r="H23" s="211"/>
      <c r="I23" s="211" t="s">
        <v>746</v>
      </c>
      <c r="J23" s="568">
        <v>155827.29999999999</v>
      </c>
      <c r="K23" s="568">
        <v>1528.5</v>
      </c>
      <c r="L23" s="568">
        <f t="shared" si="6"/>
        <v>157355.79999999999</v>
      </c>
      <c r="M23" s="568">
        <v>12674.1</v>
      </c>
      <c r="N23" s="568">
        <f t="shared" si="7"/>
        <v>144681.69999999998</v>
      </c>
      <c r="O23" s="568">
        <v>35831.9</v>
      </c>
      <c r="P23" s="568">
        <v>74654.7</v>
      </c>
      <c r="Q23" s="568">
        <v>106191.8</v>
      </c>
      <c r="R23" s="568">
        <v>902947.7</v>
      </c>
      <c r="S23" s="568">
        <f t="shared" si="8"/>
        <v>1009139.5</v>
      </c>
      <c r="T23" s="568">
        <f t="shared" si="9"/>
        <v>1083794.2</v>
      </c>
      <c r="U23" s="568">
        <v>736.6</v>
      </c>
      <c r="V23" s="568">
        <v>228027.6</v>
      </c>
      <c r="W23" s="568">
        <f t="shared" si="10"/>
        <v>251610.1</v>
      </c>
      <c r="X23" s="568">
        <f t="shared" si="11"/>
        <v>1154557.8</v>
      </c>
      <c r="Y23" s="568">
        <v>1450483.1</v>
      </c>
      <c r="Z23" s="211" t="s">
        <v>746</v>
      </c>
      <c r="AA23" s="294">
        <v>0</v>
      </c>
      <c r="AB23" s="568">
        <v>22679.5</v>
      </c>
      <c r="AC23" s="568">
        <v>915603.1</v>
      </c>
      <c r="AD23" s="568">
        <f t="shared" si="12"/>
        <v>938282.6</v>
      </c>
      <c r="AE23" s="294">
        <v>0</v>
      </c>
      <c r="AF23" s="568">
        <v>1728.6</v>
      </c>
      <c r="AG23" s="568">
        <v>26247.4</v>
      </c>
      <c r="AH23" s="568">
        <f t="shared" si="13"/>
        <v>27976</v>
      </c>
      <c r="AI23" s="586">
        <v>26325</v>
      </c>
      <c r="AJ23" s="586">
        <v>159878</v>
      </c>
      <c r="AK23" s="586">
        <v>17046.599999999999</v>
      </c>
      <c r="AL23" s="586">
        <f t="shared" si="14"/>
        <v>176924.6</v>
      </c>
      <c r="AM23" s="586">
        <f t="shared" si="15"/>
        <v>26325</v>
      </c>
      <c r="AN23" s="586">
        <f t="shared" si="15"/>
        <v>184286.1</v>
      </c>
      <c r="AO23" s="586">
        <f t="shared" si="15"/>
        <v>958897.1</v>
      </c>
      <c r="AP23" s="586">
        <f t="shared" si="15"/>
        <v>1143183.2</v>
      </c>
      <c r="AQ23" s="211" t="s">
        <v>746</v>
      </c>
      <c r="AR23" s="568">
        <v>8536.5</v>
      </c>
      <c r="AS23" s="568">
        <v>32286.7</v>
      </c>
      <c r="AT23" s="568">
        <v>32518.9</v>
      </c>
      <c r="AU23" s="568">
        <v>72.099999999999994</v>
      </c>
      <c r="AV23" s="568">
        <f>1083842.7-25.82</f>
        <v>1083816.8799999999</v>
      </c>
      <c r="AW23" s="568">
        <v>7430.9</v>
      </c>
      <c r="AX23" s="568">
        <f t="shared" si="16"/>
        <v>1091247.7799999998</v>
      </c>
      <c r="AY23" s="568">
        <f t="shared" si="26"/>
        <v>59157.730499999991</v>
      </c>
      <c r="AZ23" s="568">
        <f t="shared" si="17"/>
        <v>10775.519500000009</v>
      </c>
      <c r="BA23" s="568">
        <f>69935.2-1.95</f>
        <v>69933.25</v>
      </c>
      <c r="BB23" s="568">
        <v>2774288.5</v>
      </c>
      <c r="BC23" s="568">
        <f t="shared" si="18"/>
        <v>227289.05</v>
      </c>
      <c r="BD23" s="568">
        <v>0</v>
      </c>
      <c r="BE23" s="568">
        <v>20552.8</v>
      </c>
      <c r="BF23" s="568">
        <v>5463</v>
      </c>
      <c r="BG23" s="568">
        <v>157059.9</v>
      </c>
      <c r="BH23" s="568">
        <f t="shared" si="19"/>
        <v>183075.69999999998</v>
      </c>
      <c r="BI23" s="211" t="s">
        <v>746</v>
      </c>
      <c r="BJ23" s="325">
        <v>4.24</v>
      </c>
      <c r="BK23" s="325">
        <v>25.58</v>
      </c>
      <c r="BL23" s="325">
        <v>6.2</v>
      </c>
      <c r="BM23" s="325">
        <v>6.38</v>
      </c>
      <c r="BN23" s="325">
        <v>4.0199999999999996</v>
      </c>
      <c r="BO23" s="325" t="s">
        <v>430</v>
      </c>
      <c r="BP23" s="325" t="s">
        <v>430</v>
      </c>
      <c r="BQ23" s="477" t="s">
        <v>430</v>
      </c>
      <c r="BR23" s="477">
        <v>10373</v>
      </c>
      <c r="BS23" s="477">
        <v>3752</v>
      </c>
      <c r="BT23" s="325">
        <f t="shared" si="20"/>
        <v>105.47752310334934</v>
      </c>
      <c r="BU23" s="325">
        <f t="shared" si="21"/>
        <v>104.48441916514025</v>
      </c>
      <c r="BV23" s="325">
        <f t="shared" si="22"/>
        <v>110.20757736431119</v>
      </c>
      <c r="BW23" s="325">
        <f t="shared" si="23"/>
        <v>7.6218918088819585</v>
      </c>
      <c r="BX23" s="325">
        <v>5</v>
      </c>
      <c r="BY23" s="325">
        <v>5.34</v>
      </c>
      <c r="BZ23" s="325">
        <v>9.49</v>
      </c>
      <c r="CA23" s="325">
        <f t="shared" si="24"/>
        <v>4.1500000000000004</v>
      </c>
      <c r="CB23" s="325">
        <v>10.06</v>
      </c>
      <c r="CC23" s="325">
        <v>12.56</v>
      </c>
      <c r="CD23" s="325">
        <f t="shared" si="25"/>
        <v>2.5</v>
      </c>
    </row>
    <row r="24" spans="1:82" s="213" customFormat="1" ht="10.5" customHeight="1">
      <c r="A24" s="211"/>
      <c r="B24" s="211"/>
      <c r="C24" s="211"/>
      <c r="D24" s="211"/>
      <c r="E24" s="211"/>
      <c r="F24" s="211"/>
      <c r="G24" s="211"/>
      <c r="H24" s="211"/>
      <c r="I24" s="376" t="s">
        <v>747</v>
      </c>
      <c r="J24" s="562">
        <v>157407.29999999999</v>
      </c>
      <c r="K24" s="562">
        <v>1528.3</v>
      </c>
      <c r="L24" s="562">
        <f t="shared" si="6"/>
        <v>158935.59999999998</v>
      </c>
      <c r="M24" s="562">
        <v>12972.6</v>
      </c>
      <c r="N24" s="562">
        <f t="shared" si="7"/>
        <v>145962.99999999997</v>
      </c>
      <c r="O24" s="562">
        <v>35913.699999999997</v>
      </c>
      <c r="P24" s="562">
        <v>75656.100000000006</v>
      </c>
      <c r="Q24" s="562">
        <v>105737.9</v>
      </c>
      <c r="R24" s="562">
        <v>908198.9</v>
      </c>
      <c r="S24" s="562">
        <f t="shared" si="8"/>
        <v>1013936.8</v>
      </c>
      <c r="T24" s="562">
        <f t="shared" si="9"/>
        <v>1089592.9000000001</v>
      </c>
      <c r="U24" s="562">
        <v>673</v>
      </c>
      <c r="V24" s="562">
        <v>226742.6</v>
      </c>
      <c r="W24" s="562">
        <f t="shared" si="10"/>
        <v>252373.89999999997</v>
      </c>
      <c r="X24" s="562">
        <f t="shared" si="11"/>
        <v>1160572.8</v>
      </c>
      <c r="Y24" s="562">
        <v>1462197.5999999999</v>
      </c>
      <c r="Z24" s="376" t="s">
        <v>747</v>
      </c>
      <c r="AA24" s="361">
        <v>0</v>
      </c>
      <c r="AB24" s="562">
        <v>22023.5</v>
      </c>
      <c r="AC24" s="562">
        <v>922299.1</v>
      </c>
      <c r="AD24" s="562">
        <f t="shared" si="12"/>
        <v>944322.6</v>
      </c>
      <c r="AE24" s="361">
        <v>0</v>
      </c>
      <c r="AF24" s="562">
        <v>1767.6</v>
      </c>
      <c r="AG24" s="562">
        <v>26253.1</v>
      </c>
      <c r="AH24" s="562">
        <f t="shared" si="13"/>
        <v>28020.699999999997</v>
      </c>
      <c r="AI24" s="566">
        <v>26437.3</v>
      </c>
      <c r="AJ24" s="566">
        <v>159727.20000000001</v>
      </c>
      <c r="AK24" s="566">
        <v>17013.099999999999</v>
      </c>
      <c r="AL24" s="566">
        <f t="shared" si="14"/>
        <v>176740.30000000002</v>
      </c>
      <c r="AM24" s="566">
        <f t="shared" si="15"/>
        <v>26437.3</v>
      </c>
      <c r="AN24" s="566">
        <f t="shared" si="15"/>
        <v>183518.30000000002</v>
      </c>
      <c r="AO24" s="566">
        <f t="shared" si="15"/>
        <v>965565.29999999993</v>
      </c>
      <c r="AP24" s="566">
        <f t="shared" si="15"/>
        <v>1149083.5999999999</v>
      </c>
      <c r="AQ24" s="376" t="s">
        <v>747</v>
      </c>
      <c r="AR24" s="562">
        <v>8727.9</v>
      </c>
      <c r="AS24" s="562">
        <v>33571.800000000003</v>
      </c>
      <c r="AT24" s="562">
        <v>30644.799999999999</v>
      </c>
      <c r="AU24" s="562">
        <v>43.8</v>
      </c>
      <c r="AV24" s="562">
        <f>1089641.4-25.4</f>
        <v>1089616</v>
      </c>
      <c r="AW24" s="562">
        <v>7472.2</v>
      </c>
      <c r="AX24" s="562">
        <f t="shared" si="16"/>
        <v>1097088.2</v>
      </c>
      <c r="AY24" s="562">
        <f>0.055*AX22</f>
        <v>60202.207449999994</v>
      </c>
      <c r="AZ24" s="562">
        <f t="shared" si="17"/>
        <v>6929.9925500000027</v>
      </c>
      <c r="BA24" s="562">
        <f>67134-1.8</f>
        <v>67132.2</v>
      </c>
      <c r="BB24" s="562">
        <v>2804623.6</v>
      </c>
      <c r="BC24" s="562">
        <f t="shared" si="18"/>
        <v>226067.8</v>
      </c>
      <c r="BD24" s="562">
        <v>0</v>
      </c>
      <c r="BE24" s="562">
        <v>20414.8</v>
      </c>
      <c r="BF24" s="562">
        <v>5083.8</v>
      </c>
      <c r="BG24" s="562">
        <v>156918.6</v>
      </c>
      <c r="BH24" s="562">
        <f t="shared" si="19"/>
        <v>182417.19999999998</v>
      </c>
      <c r="BI24" s="376" t="s">
        <v>747</v>
      </c>
      <c r="BJ24" s="367">
        <v>-2.0499999999999998</v>
      </c>
      <c r="BK24" s="367">
        <v>24.31</v>
      </c>
      <c r="BL24" s="367">
        <v>6.92</v>
      </c>
      <c r="BM24" s="367">
        <v>6.41</v>
      </c>
      <c r="BN24" s="367">
        <v>4.5599999999999996</v>
      </c>
      <c r="BO24" s="367" t="s">
        <v>430</v>
      </c>
      <c r="BP24" s="367" t="s">
        <v>430</v>
      </c>
      <c r="BQ24" s="368" t="s">
        <v>430</v>
      </c>
      <c r="BR24" s="368">
        <v>10382</v>
      </c>
      <c r="BS24" s="368">
        <v>3752</v>
      </c>
      <c r="BT24" s="367">
        <f t="shared" si="20"/>
        <v>105.45766581988516</v>
      </c>
      <c r="BU24" s="367">
        <f t="shared" si="21"/>
        <v>104.95241764592564</v>
      </c>
      <c r="BV24" s="367">
        <f t="shared" si="22"/>
        <v>110.68036987093045</v>
      </c>
      <c r="BW24" s="367">
        <f t="shared" si="23"/>
        <v>7.3516541607318544</v>
      </c>
      <c r="BX24" s="367">
        <v>5</v>
      </c>
      <c r="BY24" s="367">
        <v>5.34</v>
      </c>
      <c r="BZ24" s="367">
        <v>9.49</v>
      </c>
      <c r="CA24" s="367">
        <f t="shared" si="24"/>
        <v>4.1500000000000004</v>
      </c>
      <c r="CB24" s="367">
        <v>10.14</v>
      </c>
      <c r="CC24" s="367">
        <v>12.55</v>
      </c>
      <c r="CD24" s="367">
        <f t="shared" si="25"/>
        <v>2.41</v>
      </c>
    </row>
    <row r="25" spans="1:82" s="213" customFormat="1" ht="10.5" customHeight="1">
      <c r="A25" s="211"/>
      <c r="B25" s="211"/>
      <c r="C25" s="211"/>
      <c r="D25" s="211"/>
      <c r="E25" s="211"/>
      <c r="F25" s="211"/>
      <c r="G25" s="211"/>
      <c r="H25" s="211"/>
      <c r="I25" s="211" t="s">
        <v>739</v>
      </c>
      <c r="J25" s="568">
        <v>157971.79999999999</v>
      </c>
      <c r="K25" s="568">
        <v>1528.5</v>
      </c>
      <c r="L25" s="568">
        <f t="shared" si="6"/>
        <v>159500.29999999999</v>
      </c>
      <c r="M25" s="568">
        <v>14853.8</v>
      </c>
      <c r="N25" s="568">
        <f t="shared" si="7"/>
        <v>144646.5</v>
      </c>
      <c r="O25" s="568">
        <v>35653.599999999999</v>
      </c>
      <c r="P25" s="568">
        <v>73964.5</v>
      </c>
      <c r="Q25" s="568">
        <v>106339.7</v>
      </c>
      <c r="R25" s="568">
        <v>916866.5</v>
      </c>
      <c r="S25" s="568">
        <f t="shared" si="8"/>
        <v>1023206.2</v>
      </c>
      <c r="T25" s="568">
        <f t="shared" si="9"/>
        <v>1097170.7</v>
      </c>
      <c r="U25" s="568">
        <v>726.7</v>
      </c>
      <c r="V25" s="568">
        <v>225090.3</v>
      </c>
      <c r="W25" s="568">
        <f t="shared" si="10"/>
        <v>251712.90000000002</v>
      </c>
      <c r="X25" s="568">
        <f t="shared" si="11"/>
        <v>1168579.3999999999</v>
      </c>
      <c r="Y25" s="568">
        <v>1474424.6</v>
      </c>
      <c r="Z25" s="211" t="s">
        <v>739</v>
      </c>
      <c r="AA25" s="294">
        <v>0</v>
      </c>
      <c r="AB25" s="568">
        <v>22460.3</v>
      </c>
      <c r="AC25" s="568">
        <v>929835.4</v>
      </c>
      <c r="AD25" s="568">
        <f t="shared" si="12"/>
        <v>952295.70000000007</v>
      </c>
      <c r="AE25" s="294">
        <v>0</v>
      </c>
      <c r="AF25" s="568">
        <v>1787.7</v>
      </c>
      <c r="AG25" s="568">
        <v>27896.799999999999</v>
      </c>
      <c r="AH25" s="568">
        <f t="shared" si="13"/>
        <v>29684.5</v>
      </c>
      <c r="AI25" s="586">
        <v>27610.799999999999</v>
      </c>
      <c r="AJ25" s="586">
        <v>159846.39999999999</v>
      </c>
      <c r="AK25" s="586">
        <v>17138.900000000001</v>
      </c>
      <c r="AL25" s="586">
        <f t="shared" si="14"/>
        <v>176985.3</v>
      </c>
      <c r="AM25" s="586">
        <f t="shared" si="15"/>
        <v>27610.799999999999</v>
      </c>
      <c r="AN25" s="586">
        <f t="shared" si="15"/>
        <v>184094.4</v>
      </c>
      <c r="AO25" s="586">
        <f t="shared" si="15"/>
        <v>974871.10000000009</v>
      </c>
      <c r="AP25" s="586">
        <f t="shared" si="15"/>
        <v>1158965.5</v>
      </c>
      <c r="AQ25" s="211" t="s">
        <v>739</v>
      </c>
      <c r="AR25" s="568">
        <v>9605.1</v>
      </c>
      <c r="AS25" s="568">
        <v>36136.1</v>
      </c>
      <c r="AT25" s="568">
        <v>32415.4</v>
      </c>
      <c r="AU25" s="568">
        <v>50.1</v>
      </c>
      <c r="AV25" s="568">
        <f>1097219.2-25</f>
        <v>1097194.2</v>
      </c>
      <c r="AW25" s="568">
        <v>7032.7</v>
      </c>
      <c r="AX25" s="568">
        <f t="shared" si="16"/>
        <v>1104226.8999999999</v>
      </c>
      <c r="AY25" s="568">
        <f t="shared" si="26"/>
        <v>60018.627899999992</v>
      </c>
      <c r="AZ25" s="568">
        <f t="shared" si="17"/>
        <v>4768.9246000000057</v>
      </c>
      <c r="BA25" s="568">
        <f>64863.3-1.8775-73.87</f>
        <v>64787.552499999998</v>
      </c>
      <c r="BB25" s="568">
        <v>2872599.7</v>
      </c>
      <c r="BC25" s="568">
        <f t="shared" si="18"/>
        <v>224287.85249999998</v>
      </c>
      <c r="BD25" s="568">
        <v>0</v>
      </c>
      <c r="BE25" s="568">
        <v>18625</v>
      </c>
      <c r="BF25" s="568">
        <v>5387.4</v>
      </c>
      <c r="BG25" s="568">
        <v>156999.4</v>
      </c>
      <c r="BH25" s="568">
        <f t="shared" si="19"/>
        <v>181011.8</v>
      </c>
      <c r="BI25" s="211" t="s">
        <v>739</v>
      </c>
      <c r="BJ25" s="325">
        <v>-2.5099999999999998</v>
      </c>
      <c r="BK25" s="325">
        <v>25.32</v>
      </c>
      <c r="BL25" s="325">
        <v>7.95</v>
      </c>
      <c r="BM25" s="325">
        <v>7.31</v>
      </c>
      <c r="BN25" s="325">
        <v>5.28</v>
      </c>
      <c r="BO25" s="325" t="s">
        <v>430</v>
      </c>
      <c r="BP25" s="325" t="s">
        <v>430</v>
      </c>
      <c r="BQ25" s="477" t="s">
        <v>430</v>
      </c>
      <c r="BR25" s="477">
        <v>10387</v>
      </c>
      <c r="BS25" s="477">
        <v>3753</v>
      </c>
      <c r="BT25" s="325">
        <f t="shared" si="20"/>
        <v>105.62993315130539</v>
      </c>
      <c r="BU25" s="325">
        <f t="shared" si="21"/>
        <v>105.63148165976702</v>
      </c>
      <c r="BV25" s="325">
        <f t="shared" si="22"/>
        <v>111.57846346394531</v>
      </c>
      <c r="BW25" s="325">
        <f t="shared" si="23"/>
        <v>7.2586377598423315</v>
      </c>
      <c r="BX25" s="325">
        <v>5</v>
      </c>
      <c r="BY25" s="325">
        <v>5.35</v>
      </c>
      <c r="BZ25" s="325">
        <v>9.5</v>
      </c>
      <c r="CA25" s="325">
        <f t="shared" si="24"/>
        <v>4.1500000000000004</v>
      </c>
      <c r="CB25" s="325">
        <v>10.24</v>
      </c>
      <c r="CC25" s="325">
        <v>12.56</v>
      </c>
      <c r="CD25" s="325">
        <f t="shared" si="25"/>
        <v>2.3200000000000003</v>
      </c>
    </row>
    <row r="26" spans="1:82" s="213" customFormat="1" ht="10.5" customHeight="1">
      <c r="A26" s="211"/>
      <c r="B26" s="211"/>
      <c r="C26" s="211"/>
      <c r="D26" s="211"/>
      <c r="E26" s="211"/>
      <c r="F26" s="211"/>
      <c r="G26" s="211"/>
      <c r="H26" s="211"/>
      <c r="I26" s="376" t="s">
        <v>748</v>
      </c>
      <c r="J26" s="562">
        <v>157263.9</v>
      </c>
      <c r="K26" s="562">
        <v>1527.1</v>
      </c>
      <c r="L26" s="562">
        <f t="shared" si="6"/>
        <v>158791</v>
      </c>
      <c r="M26" s="562">
        <v>14032</v>
      </c>
      <c r="N26" s="562">
        <f t="shared" si="7"/>
        <v>144759</v>
      </c>
      <c r="O26" s="562">
        <v>35335</v>
      </c>
      <c r="P26" s="562">
        <v>75732.100000000006</v>
      </c>
      <c r="Q26" s="562">
        <v>107867.8</v>
      </c>
      <c r="R26" s="562">
        <v>917613.1</v>
      </c>
      <c r="S26" s="562">
        <f t="shared" si="8"/>
        <v>1025480.9</v>
      </c>
      <c r="T26" s="562">
        <f t="shared" si="9"/>
        <v>1101213</v>
      </c>
      <c r="U26" s="562">
        <v>703.7</v>
      </c>
      <c r="V26" s="562">
        <v>226991.30000000002</v>
      </c>
      <c r="W26" s="562">
        <f t="shared" si="10"/>
        <v>253330.5</v>
      </c>
      <c r="X26" s="562">
        <f t="shared" si="11"/>
        <v>1170943.6000000001</v>
      </c>
      <c r="Y26" s="562">
        <v>1480715.2999999998</v>
      </c>
      <c r="Z26" s="376" t="s">
        <v>748</v>
      </c>
      <c r="AA26" s="361">
        <v>0</v>
      </c>
      <c r="AB26" s="562">
        <v>21189.7</v>
      </c>
      <c r="AC26" s="562">
        <v>937496</v>
      </c>
      <c r="AD26" s="562">
        <f t="shared" si="12"/>
        <v>958685.7</v>
      </c>
      <c r="AE26" s="361">
        <v>0</v>
      </c>
      <c r="AF26" s="562">
        <v>1783</v>
      </c>
      <c r="AG26" s="562">
        <v>28432.400000000001</v>
      </c>
      <c r="AH26" s="562">
        <f t="shared" si="13"/>
        <v>30215.4</v>
      </c>
      <c r="AI26" s="566">
        <v>26476.5</v>
      </c>
      <c r="AJ26" s="566">
        <v>159175.29999999999</v>
      </c>
      <c r="AK26" s="566">
        <v>17224.400000000001</v>
      </c>
      <c r="AL26" s="566">
        <f t="shared" si="14"/>
        <v>176399.69999999998</v>
      </c>
      <c r="AM26" s="566">
        <f t="shared" si="15"/>
        <v>26476.5</v>
      </c>
      <c r="AN26" s="566">
        <f t="shared" si="15"/>
        <v>182148</v>
      </c>
      <c r="AO26" s="566">
        <f t="shared" si="15"/>
        <v>983152.8</v>
      </c>
      <c r="AP26" s="566">
        <f t="shared" si="15"/>
        <v>1165300.8</v>
      </c>
      <c r="AQ26" s="376" t="s">
        <v>748</v>
      </c>
      <c r="AR26" s="562">
        <v>10385.9</v>
      </c>
      <c r="AS26" s="562">
        <v>35732.199999999997</v>
      </c>
      <c r="AT26" s="562">
        <v>33335.5</v>
      </c>
      <c r="AU26" s="562">
        <v>42.5</v>
      </c>
      <c r="AV26" s="562">
        <f>1101261.7-24.71</f>
        <v>1101236.99</v>
      </c>
      <c r="AW26" s="562">
        <v>7729.6</v>
      </c>
      <c r="AX26" s="562">
        <f t="shared" si="16"/>
        <v>1108966.5900000001</v>
      </c>
      <c r="AY26" s="562">
        <f t="shared" si="26"/>
        <v>60339.850999999995</v>
      </c>
      <c r="AZ26" s="562">
        <f t="shared" si="17"/>
        <v>7020.4781000000221</v>
      </c>
      <c r="BA26" s="562">
        <f>67496.6-2.4009-133.87</f>
        <v>67360.329100000017</v>
      </c>
      <c r="BB26" s="562">
        <v>2874417.4</v>
      </c>
      <c r="BC26" s="562">
        <f t="shared" si="18"/>
        <v>226151.32910000003</v>
      </c>
      <c r="BD26" s="562">
        <v>0</v>
      </c>
      <c r="BE26" s="562">
        <v>18857.5</v>
      </c>
      <c r="BF26" s="562">
        <v>4878.3999999999996</v>
      </c>
      <c r="BG26" s="562">
        <v>155896.29999999999</v>
      </c>
      <c r="BH26" s="562">
        <f t="shared" si="19"/>
        <v>179632.19999999998</v>
      </c>
      <c r="BI26" s="376" t="s">
        <v>748</v>
      </c>
      <c r="BJ26" s="367">
        <v>-1.72</v>
      </c>
      <c r="BK26" s="367">
        <v>23.45</v>
      </c>
      <c r="BL26" s="367">
        <v>8.86</v>
      </c>
      <c r="BM26" s="367">
        <v>8.15</v>
      </c>
      <c r="BN26" s="367">
        <v>5.49</v>
      </c>
      <c r="BO26" s="367" t="s">
        <v>430</v>
      </c>
      <c r="BP26" s="367" t="s">
        <v>430</v>
      </c>
      <c r="BQ26" s="368" t="s">
        <v>430</v>
      </c>
      <c r="BR26" s="368">
        <v>10391</v>
      </c>
      <c r="BS26" s="368">
        <v>3756</v>
      </c>
      <c r="BT26" s="367">
        <f t="shared" si="20"/>
        <v>105.81744080354585</v>
      </c>
      <c r="BU26" s="367">
        <f t="shared" si="21"/>
        <v>105.97988547781735</v>
      </c>
      <c r="BV26" s="367">
        <f t="shared" si="22"/>
        <v>112.14520257915504</v>
      </c>
      <c r="BW26" s="367">
        <f t="shared" si="23"/>
        <v>7.3909912070788701</v>
      </c>
      <c r="BX26" s="367">
        <v>5</v>
      </c>
      <c r="BY26" s="367">
        <v>5.42</v>
      </c>
      <c r="BZ26" s="367">
        <v>9.4600000000000009</v>
      </c>
      <c r="CA26" s="367">
        <f t="shared" si="24"/>
        <v>4.0400000000000009</v>
      </c>
      <c r="CB26" s="367">
        <v>10.4</v>
      </c>
      <c r="CC26" s="367">
        <v>12.71</v>
      </c>
      <c r="CD26" s="367">
        <f t="shared" si="25"/>
        <v>2.3100000000000005</v>
      </c>
    </row>
    <row r="27" spans="1:82" s="213" customFormat="1" ht="10.5" customHeight="1">
      <c r="A27" s="211"/>
      <c r="B27" s="211"/>
      <c r="C27" s="211"/>
      <c r="D27" s="211"/>
      <c r="E27" s="211"/>
      <c r="F27" s="211"/>
      <c r="G27" s="211"/>
      <c r="H27" s="211"/>
      <c r="I27" s="211" t="s">
        <v>749</v>
      </c>
      <c r="J27" s="568">
        <v>178237.9</v>
      </c>
      <c r="K27" s="568">
        <v>1528.1</v>
      </c>
      <c r="L27" s="568">
        <f t="shared" si="6"/>
        <v>179766</v>
      </c>
      <c r="M27" s="568">
        <v>15161.7</v>
      </c>
      <c r="N27" s="568">
        <f t="shared" si="7"/>
        <v>164604.29999999999</v>
      </c>
      <c r="O27" s="568">
        <v>35985.9</v>
      </c>
      <c r="P27" s="568">
        <v>76810.899999999994</v>
      </c>
      <c r="Q27" s="568">
        <v>108103.6</v>
      </c>
      <c r="R27" s="568">
        <v>931733.5</v>
      </c>
      <c r="S27" s="568">
        <f t="shared" si="8"/>
        <v>1039837.1</v>
      </c>
      <c r="T27" s="568">
        <f t="shared" si="9"/>
        <v>1116648</v>
      </c>
      <c r="U27" s="568">
        <v>716.2</v>
      </c>
      <c r="V27" s="568">
        <v>245672.2</v>
      </c>
      <c r="W27" s="568">
        <f t="shared" si="10"/>
        <v>273424.10000000003</v>
      </c>
      <c r="X27" s="568">
        <f t="shared" si="11"/>
        <v>1205157.6000000001</v>
      </c>
      <c r="Y27" s="568">
        <v>1517155.4999999998</v>
      </c>
      <c r="Z27" s="211" t="s">
        <v>749</v>
      </c>
      <c r="AA27" s="294">
        <v>0</v>
      </c>
      <c r="AB27" s="568">
        <v>21712.9</v>
      </c>
      <c r="AC27" s="568">
        <v>948971.5</v>
      </c>
      <c r="AD27" s="568">
        <f t="shared" si="12"/>
        <v>970684.4</v>
      </c>
      <c r="AE27" s="294">
        <v>0</v>
      </c>
      <c r="AF27" s="568">
        <v>2025.1</v>
      </c>
      <c r="AG27" s="568">
        <v>29701.8</v>
      </c>
      <c r="AH27" s="568">
        <f t="shared" si="13"/>
        <v>31726.899999999998</v>
      </c>
      <c r="AI27" s="586">
        <v>28363.200000000001</v>
      </c>
      <c r="AJ27" s="586">
        <v>163729.1</v>
      </c>
      <c r="AK27" s="586">
        <v>17468.2</v>
      </c>
      <c r="AL27" s="586">
        <f t="shared" si="14"/>
        <v>181197.30000000002</v>
      </c>
      <c r="AM27" s="586">
        <f t="shared" si="15"/>
        <v>28363.200000000001</v>
      </c>
      <c r="AN27" s="586">
        <f t="shared" si="15"/>
        <v>187467.1</v>
      </c>
      <c r="AO27" s="586">
        <f t="shared" si="15"/>
        <v>996141.5</v>
      </c>
      <c r="AP27" s="586">
        <f t="shared" si="15"/>
        <v>1183608.6000000001</v>
      </c>
      <c r="AQ27" s="211" t="s">
        <v>749</v>
      </c>
      <c r="AR27" s="568">
        <v>11183</v>
      </c>
      <c r="AS27" s="568">
        <v>37497.800000000003</v>
      </c>
      <c r="AT27" s="568">
        <v>36052.1</v>
      </c>
      <c r="AU27" s="568">
        <v>41.7</v>
      </c>
      <c r="AV27" s="568">
        <f>1116696.7-24.65</f>
        <v>1116672.05</v>
      </c>
      <c r="AW27" s="568">
        <v>8078.1</v>
      </c>
      <c r="AX27" s="568">
        <f t="shared" si="16"/>
        <v>1124750.1500000001</v>
      </c>
      <c r="AY27" s="568">
        <f t="shared" si="26"/>
        <v>60732.479499999994</v>
      </c>
      <c r="AZ27" s="568">
        <f t="shared" si="17"/>
        <v>4381.7664000000004</v>
      </c>
      <c r="BA27" s="568">
        <f>65190-1.8841-73.87</f>
        <v>65114.245899999994</v>
      </c>
      <c r="BB27" s="568">
        <v>2950169.7</v>
      </c>
      <c r="BC27" s="568">
        <f t="shared" si="18"/>
        <v>244880.24589999998</v>
      </c>
      <c r="BD27" s="568">
        <v>4000</v>
      </c>
      <c r="BE27" s="568">
        <v>29222.3</v>
      </c>
      <c r="BF27" s="568">
        <v>5360.7</v>
      </c>
      <c r="BG27" s="568">
        <v>160083.1</v>
      </c>
      <c r="BH27" s="568">
        <f t="shared" si="19"/>
        <v>198666.1</v>
      </c>
      <c r="BI27" s="211" t="s">
        <v>749</v>
      </c>
      <c r="BJ27" s="325">
        <v>19.170000000000002</v>
      </c>
      <c r="BK27" s="325">
        <v>27.11</v>
      </c>
      <c r="BL27" s="325">
        <v>10.29</v>
      </c>
      <c r="BM27" s="325">
        <v>11.43</v>
      </c>
      <c r="BN27" s="325">
        <v>8.57</v>
      </c>
      <c r="BO27" s="325" t="s">
        <v>430</v>
      </c>
      <c r="BP27" s="325" t="s">
        <v>430</v>
      </c>
      <c r="BQ27" s="477" t="s">
        <v>430</v>
      </c>
      <c r="BR27" s="477">
        <v>10391</v>
      </c>
      <c r="BS27" s="477">
        <v>3757</v>
      </c>
      <c r="BT27" s="325">
        <f t="shared" si="20"/>
        <v>105.9942890126067</v>
      </c>
      <c r="BU27" s="325">
        <f t="shared" si="21"/>
        <v>107.46531132711</v>
      </c>
      <c r="BV27" s="325">
        <f t="shared" si="22"/>
        <v>113.90709267635455</v>
      </c>
      <c r="BW27" s="325">
        <f t="shared" si="23"/>
        <v>7.1888560208881378</v>
      </c>
      <c r="BX27" s="325">
        <v>5</v>
      </c>
      <c r="BY27" s="325">
        <v>5.46</v>
      </c>
      <c r="BZ27" s="325">
        <v>9.51</v>
      </c>
      <c r="CA27" s="325">
        <f t="shared" si="24"/>
        <v>4.05</v>
      </c>
      <c r="CB27" s="325">
        <v>10.54</v>
      </c>
      <c r="CC27" s="325">
        <v>12.81</v>
      </c>
      <c r="CD27" s="325">
        <f t="shared" si="25"/>
        <v>2.2700000000000014</v>
      </c>
    </row>
    <row r="28" spans="1:82" s="213" customFormat="1" ht="10.5" customHeight="1">
      <c r="A28" s="211"/>
      <c r="B28" s="211"/>
      <c r="C28" s="211"/>
      <c r="D28" s="211"/>
      <c r="E28" s="211"/>
      <c r="F28" s="211"/>
      <c r="G28" s="211"/>
      <c r="H28" s="211"/>
      <c r="I28" s="376" t="s">
        <v>740</v>
      </c>
      <c r="J28" s="562">
        <v>168858.3</v>
      </c>
      <c r="K28" s="562">
        <v>1528.8</v>
      </c>
      <c r="L28" s="562">
        <f t="shared" si="6"/>
        <v>170387.09999999998</v>
      </c>
      <c r="M28" s="562">
        <v>16100.1</v>
      </c>
      <c r="N28" s="562">
        <f t="shared" si="7"/>
        <v>154286.99999999997</v>
      </c>
      <c r="O28" s="562">
        <v>39425.5</v>
      </c>
      <c r="P28" s="562">
        <v>82779.3</v>
      </c>
      <c r="Q28" s="562">
        <v>118217.9</v>
      </c>
      <c r="R28" s="562">
        <v>946318.1</v>
      </c>
      <c r="S28" s="562">
        <f t="shared" si="8"/>
        <v>1064536</v>
      </c>
      <c r="T28" s="562">
        <f t="shared" si="9"/>
        <v>1147315.3</v>
      </c>
      <c r="U28" s="562">
        <v>788.5</v>
      </c>
      <c r="V28" s="562">
        <v>246187.7</v>
      </c>
      <c r="W28" s="562">
        <f t="shared" si="10"/>
        <v>273293.39999999997</v>
      </c>
      <c r="X28" s="562">
        <f t="shared" si="11"/>
        <v>1219611.5</v>
      </c>
      <c r="Y28" s="562">
        <v>1534026.9</v>
      </c>
      <c r="Z28" s="376" t="s">
        <v>740</v>
      </c>
      <c r="AA28" s="361">
        <v>0</v>
      </c>
      <c r="AB28" s="562">
        <v>20919.7</v>
      </c>
      <c r="AC28" s="562">
        <v>959297.9</v>
      </c>
      <c r="AD28" s="562">
        <f t="shared" si="12"/>
        <v>980217.6</v>
      </c>
      <c r="AE28" s="361">
        <v>0</v>
      </c>
      <c r="AF28" s="562">
        <v>1846.4</v>
      </c>
      <c r="AG28" s="562">
        <v>28721.3</v>
      </c>
      <c r="AH28" s="562">
        <f t="shared" si="13"/>
        <v>30567.7</v>
      </c>
      <c r="AI28" s="566">
        <v>26155.9</v>
      </c>
      <c r="AJ28" s="566">
        <v>171543.8</v>
      </c>
      <c r="AK28" s="566">
        <v>17447.099999999999</v>
      </c>
      <c r="AL28" s="566">
        <f t="shared" si="14"/>
        <v>188990.9</v>
      </c>
      <c r="AM28" s="566">
        <f t="shared" si="15"/>
        <v>26155.9</v>
      </c>
      <c r="AN28" s="566">
        <f t="shared" si="15"/>
        <v>194309.9</v>
      </c>
      <c r="AO28" s="566">
        <f t="shared" si="15"/>
        <v>1005466.3</v>
      </c>
      <c r="AP28" s="566">
        <f t="shared" si="15"/>
        <v>1199776.2</v>
      </c>
      <c r="AQ28" s="376" t="s">
        <v>740</v>
      </c>
      <c r="AR28" s="562">
        <v>10348.200000000001</v>
      </c>
      <c r="AS28" s="562">
        <v>35369.800000000003</v>
      </c>
      <c r="AT28" s="562">
        <v>35152.699999999997</v>
      </c>
      <c r="AU28" s="562">
        <v>146.6</v>
      </c>
      <c r="AV28" s="562">
        <f>1147364.2-25.52</f>
        <v>1147338.68</v>
      </c>
      <c r="AW28" s="562">
        <v>7705.6</v>
      </c>
      <c r="AX28" s="562">
        <f t="shared" si="16"/>
        <v>1155044.28</v>
      </c>
      <c r="AY28" s="562">
        <f>0.055*AX26</f>
        <v>60993.162450000003</v>
      </c>
      <c r="AZ28" s="562">
        <f t="shared" si="17"/>
        <v>13942.628850000008</v>
      </c>
      <c r="BA28" s="562">
        <f>75012.1-2.6387-73.67</f>
        <v>74935.791300000012</v>
      </c>
      <c r="BB28" s="562">
        <v>3029188.4</v>
      </c>
      <c r="BC28" s="562">
        <f t="shared" si="18"/>
        <v>245322.89129999999</v>
      </c>
      <c r="BD28" s="562">
        <v>1422.9</v>
      </c>
      <c r="BE28" s="562">
        <v>30233</v>
      </c>
      <c r="BF28" s="562">
        <v>4900.8</v>
      </c>
      <c r="BG28" s="562">
        <v>168433.9</v>
      </c>
      <c r="BH28" s="562">
        <f t="shared" si="19"/>
        <v>204990.59999999998</v>
      </c>
      <c r="BI28" s="376" t="s">
        <v>740</v>
      </c>
      <c r="BJ28" s="367">
        <v>19.37</v>
      </c>
      <c r="BK28" s="367">
        <v>21.64</v>
      </c>
      <c r="BL28" s="367">
        <v>11.32</v>
      </c>
      <c r="BM28" s="367">
        <v>12.26</v>
      </c>
      <c r="BN28" s="367">
        <v>9.8800000000000008</v>
      </c>
      <c r="BO28" s="367" t="s">
        <v>430</v>
      </c>
      <c r="BP28" s="367" t="s">
        <v>430</v>
      </c>
      <c r="BQ28" s="368" t="s">
        <v>430</v>
      </c>
      <c r="BR28" s="368">
        <v>10396</v>
      </c>
      <c r="BS28" s="368">
        <v>3759</v>
      </c>
      <c r="BT28" s="367">
        <f t="shared" si="20"/>
        <v>104.57036103759702</v>
      </c>
      <c r="BU28" s="367">
        <f t="shared" si="21"/>
        <v>110.36347441323585</v>
      </c>
      <c r="BV28" s="367">
        <f t="shared" si="22"/>
        <v>115.40748364755675</v>
      </c>
      <c r="BW28" s="367">
        <f t="shared" si="23"/>
        <v>7.9345264730375886</v>
      </c>
      <c r="BX28" s="367">
        <v>5</v>
      </c>
      <c r="BY28" s="367">
        <v>5.43</v>
      </c>
      <c r="BZ28" s="367">
        <v>9.58</v>
      </c>
      <c r="CA28" s="367">
        <f t="shared" si="24"/>
        <v>4.1500000000000004</v>
      </c>
      <c r="CB28" s="367">
        <v>10.56</v>
      </c>
      <c r="CC28" s="367">
        <v>13</v>
      </c>
      <c r="CD28" s="367">
        <f t="shared" si="25"/>
        <v>2.4399999999999995</v>
      </c>
    </row>
    <row r="29" spans="1:82" s="213" customFormat="1" ht="10.5" customHeight="1">
      <c r="A29" s="211"/>
      <c r="B29" s="211"/>
      <c r="C29" s="211"/>
      <c r="D29" s="211"/>
      <c r="E29" s="211"/>
      <c r="F29" s="211"/>
      <c r="G29" s="211"/>
      <c r="H29" s="211"/>
      <c r="I29" s="243" t="s">
        <v>2017</v>
      </c>
      <c r="J29" s="688">
        <f>J41</f>
        <v>206552.2</v>
      </c>
      <c r="K29" s="688">
        <f t="shared" ref="K29:X29" si="27">K41</f>
        <v>1541.9</v>
      </c>
      <c r="L29" s="688">
        <f t="shared" si="27"/>
        <v>208094.1</v>
      </c>
      <c r="M29" s="688">
        <f t="shared" si="27"/>
        <v>15979.6</v>
      </c>
      <c r="N29" s="688">
        <f t="shared" si="27"/>
        <v>192114.5</v>
      </c>
      <c r="O29" s="688">
        <f t="shared" si="27"/>
        <v>30355.7</v>
      </c>
      <c r="P29" s="688">
        <f t="shared" si="27"/>
        <v>88099.4</v>
      </c>
      <c r="Q29" s="688">
        <f t="shared" si="27"/>
        <v>135528.4</v>
      </c>
      <c r="R29" s="688">
        <f t="shared" si="27"/>
        <v>1045471.1</v>
      </c>
      <c r="S29" s="688">
        <f t="shared" si="27"/>
        <v>1180999.5</v>
      </c>
      <c r="T29" s="688">
        <f t="shared" si="27"/>
        <v>1269098.8999999999</v>
      </c>
      <c r="U29" s="688">
        <f t="shared" si="27"/>
        <v>621</v>
      </c>
      <c r="V29" s="688">
        <v>284483.40000000002</v>
      </c>
      <c r="W29" s="688">
        <f t="shared" si="27"/>
        <v>328263.90000000002</v>
      </c>
      <c r="X29" s="688">
        <f t="shared" si="27"/>
        <v>1373735</v>
      </c>
      <c r="Y29" s="876">
        <v>1703937.4</v>
      </c>
      <c r="Z29" s="243" t="s">
        <v>2017</v>
      </c>
      <c r="AA29" s="688">
        <f t="shared" ref="AA29:AP29" si="28">AA41</f>
        <v>0</v>
      </c>
      <c r="AB29" s="688">
        <f t="shared" si="28"/>
        <v>25708.3</v>
      </c>
      <c r="AC29" s="688">
        <f t="shared" si="28"/>
        <v>1050976</v>
      </c>
      <c r="AD29" s="688">
        <f t="shared" si="28"/>
        <v>1076684.3</v>
      </c>
      <c r="AE29" s="688">
        <f t="shared" si="28"/>
        <v>0</v>
      </c>
      <c r="AF29" s="688">
        <f t="shared" si="28"/>
        <v>1921.3</v>
      </c>
      <c r="AG29" s="688">
        <f t="shared" si="28"/>
        <v>22033.3</v>
      </c>
      <c r="AH29" s="688">
        <f t="shared" si="28"/>
        <v>23954.6</v>
      </c>
      <c r="AI29" s="688">
        <f t="shared" si="28"/>
        <v>25407.3</v>
      </c>
      <c r="AJ29" s="688">
        <f t="shared" si="28"/>
        <v>232935.5</v>
      </c>
      <c r="AK29" s="688">
        <f t="shared" si="28"/>
        <v>18916</v>
      </c>
      <c r="AL29" s="688">
        <f t="shared" si="28"/>
        <v>251851.5</v>
      </c>
      <c r="AM29" s="688">
        <f t="shared" si="28"/>
        <v>25407.3</v>
      </c>
      <c r="AN29" s="688">
        <f t="shared" si="28"/>
        <v>260565.1</v>
      </c>
      <c r="AO29" s="688">
        <f t="shared" si="28"/>
        <v>1091925.3</v>
      </c>
      <c r="AP29" s="688">
        <f t="shared" si="28"/>
        <v>1352490.4000000001</v>
      </c>
      <c r="AQ29" s="243" t="s">
        <v>2017</v>
      </c>
      <c r="AR29" s="688">
        <f t="shared" ref="AR29:BH29" si="29">AR41</f>
        <v>13614.7</v>
      </c>
      <c r="AS29" s="688">
        <f t="shared" si="29"/>
        <v>50299.7</v>
      </c>
      <c r="AT29" s="688">
        <f t="shared" si="29"/>
        <v>35190.199999999997</v>
      </c>
      <c r="AU29" s="688">
        <f t="shared" si="29"/>
        <v>58.5</v>
      </c>
      <c r="AV29" s="688">
        <f t="shared" si="29"/>
        <v>1269113.6399999999</v>
      </c>
      <c r="AW29" s="688">
        <f t="shared" si="29"/>
        <v>10934.2</v>
      </c>
      <c r="AX29" s="688">
        <f t="shared" si="29"/>
        <v>1280047.8399999999</v>
      </c>
      <c r="AY29" s="688">
        <f t="shared" si="29"/>
        <v>49693.31</v>
      </c>
      <c r="AZ29" s="688">
        <f t="shared" si="29"/>
        <v>26071.655700000003</v>
      </c>
      <c r="BA29" s="688">
        <f t="shared" si="29"/>
        <v>75764.965700000001</v>
      </c>
      <c r="BB29" s="688">
        <f t="shared" si="29"/>
        <v>3332696.5</v>
      </c>
      <c r="BC29" s="688">
        <f t="shared" si="29"/>
        <v>283859.06570000004</v>
      </c>
      <c r="BD29" s="688">
        <f t="shared" si="29"/>
        <v>10631</v>
      </c>
      <c r="BE29" s="688">
        <f t="shared" si="29"/>
        <v>36086.9</v>
      </c>
      <c r="BF29" s="688">
        <f t="shared" si="29"/>
        <v>4710.3</v>
      </c>
      <c r="BG29" s="688">
        <f t="shared" si="29"/>
        <v>229191.6</v>
      </c>
      <c r="BH29" s="688">
        <f t="shared" si="29"/>
        <v>280619.8</v>
      </c>
      <c r="BI29" s="243" t="s">
        <v>2017</v>
      </c>
      <c r="BJ29" s="687">
        <f>BJ41</f>
        <v>55.51</v>
      </c>
      <c r="BK29" s="687">
        <f t="shared" ref="BK29:BN29" si="30">BK41</f>
        <v>25.09</v>
      </c>
      <c r="BL29" s="687">
        <f t="shared" si="30"/>
        <v>8.61</v>
      </c>
      <c r="BM29" s="687">
        <f t="shared" si="30"/>
        <v>13.58</v>
      </c>
      <c r="BN29" s="687">
        <f t="shared" si="30"/>
        <v>12.64</v>
      </c>
      <c r="BO29" s="427">
        <v>2.0356023541658299</v>
      </c>
      <c r="BP29" s="427" t="s">
        <v>430</v>
      </c>
      <c r="BQ29" s="428" t="s">
        <v>430</v>
      </c>
      <c r="BR29" s="809">
        <f t="shared" ref="BR29:CD29" si="31">BR41</f>
        <v>10588</v>
      </c>
      <c r="BS29" s="809">
        <f t="shared" si="31"/>
        <v>3775</v>
      </c>
      <c r="BT29" s="687">
        <f t="shared" si="31"/>
        <v>106.56968433496627</v>
      </c>
      <c r="BU29" s="687">
        <f t="shared" si="31"/>
        <v>119.86339629769549</v>
      </c>
      <c r="BV29" s="687">
        <f t="shared" si="31"/>
        <v>127.73804306762374</v>
      </c>
      <c r="BW29" s="687">
        <f t="shared" si="31"/>
        <v>7.2290268427025977</v>
      </c>
      <c r="BX29" s="687">
        <f t="shared" si="31"/>
        <v>5</v>
      </c>
      <c r="BY29" s="687">
        <f t="shared" si="31"/>
        <v>5.0599999999999996</v>
      </c>
      <c r="BZ29" s="687">
        <f t="shared" si="31"/>
        <v>7.95</v>
      </c>
      <c r="CA29" s="687">
        <f t="shared" si="31"/>
        <v>2.8900000000000006</v>
      </c>
      <c r="CB29" s="687">
        <f t="shared" si="31"/>
        <v>9.7200000000000006</v>
      </c>
      <c r="CC29" s="687">
        <f t="shared" si="31"/>
        <v>12.93</v>
      </c>
      <c r="CD29" s="687">
        <f t="shared" si="31"/>
        <v>3.2099999999999991</v>
      </c>
    </row>
    <row r="30" spans="1:82" s="213" customFormat="1" ht="10.5" customHeight="1">
      <c r="A30" s="211"/>
      <c r="B30" s="211"/>
      <c r="C30" s="211"/>
      <c r="D30" s="211"/>
      <c r="E30" s="211"/>
      <c r="F30" s="211"/>
      <c r="G30" s="211"/>
      <c r="H30" s="211"/>
      <c r="I30" s="376" t="s">
        <v>742</v>
      </c>
      <c r="J30" s="562">
        <v>170895.7</v>
      </c>
      <c r="K30" s="562">
        <v>1532.5</v>
      </c>
      <c r="L30" s="562">
        <f t="shared" si="6"/>
        <v>172428.2</v>
      </c>
      <c r="M30" s="562">
        <v>14597.1</v>
      </c>
      <c r="N30" s="562">
        <f t="shared" si="7"/>
        <v>157831.1</v>
      </c>
      <c r="O30" s="562">
        <v>34568.199999999997</v>
      </c>
      <c r="P30" s="562">
        <v>82205.399999999994</v>
      </c>
      <c r="Q30" s="562">
        <v>114430</v>
      </c>
      <c r="R30" s="562">
        <v>956594.6</v>
      </c>
      <c r="S30" s="562">
        <f t="shared" si="8"/>
        <v>1071024.6000000001</v>
      </c>
      <c r="T30" s="562">
        <f t="shared" si="9"/>
        <v>1153230</v>
      </c>
      <c r="U30" s="562">
        <v>716.7</v>
      </c>
      <c r="V30" s="562">
        <v>243553.60000000003</v>
      </c>
      <c r="W30" s="562">
        <f t="shared" ref="W30:W53" si="32">N30+Q30+U30</f>
        <v>272977.8</v>
      </c>
      <c r="X30" s="562">
        <f t="shared" ref="X30:X53" si="33">R30+W30</f>
        <v>1229572.3999999999</v>
      </c>
      <c r="Y30" s="562">
        <v>1545936.0999999999</v>
      </c>
      <c r="Z30" s="376" t="s">
        <v>742</v>
      </c>
      <c r="AA30" s="361">
        <v>0</v>
      </c>
      <c r="AB30" s="562">
        <v>21704.9</v>
      </c>
      <c r="AC30" s="562">
        <v>952808.2</v>
      </c>
      <c r="AD30" s="562">
        <f t="shared" si="12"/>
        <v>974513.1</v>
      </c>
      <c r="AE30" s="361">
        <v>0</v>
      </c>
      <c r="AF30" s="562">
        <v>1846.9</v>
      </c>
      <c r="AG30" s="562">
        <v>27850.9</v>
      </c>
      <c r="AH30" s="562">
        <f t="shared" si="13"/>
        <v>29697.800000000003</v>
      </c>
      <c r="AI30" s="566">
        <v>26301.599999999999</v>
      </c>
      <c r="AJ30" s="566">
        <v>188653.7</v>
      </c>
      <c r="AK30" s="566">
        <v>17501.7</v>
      </c>
      <c r="AL30" s="566">
        <f t="shared" si="14"/>
        <v>206155.40000000002</v>
      </c>
      <c r="AM30" s="566">
        <f t="shared" ref="AM30:AP53" si="34">AA30+AE30+AI30</f>
        <v>26301.599999999999</v>
      </c>
      <c r="AN30" s="566">
        <f t="shared" si="34"/>
        <v>212205.5</v>
      </c>
      <c r="AO30" s="566">
        <f t="shared" si="34"/>
        <v>998160.79999999993</v>
      </c>
      <c r="AP30" s="566">
        <f t="shared" si="34"/>
        <v>1210366.3</v>
      </c>
      <c r="AQ30" s="376" t="s">
        <v>742</v>
      </c>
      <c r="AR30" s="562">
        <v>9447.6</v>
      </c>
      <c r="AS30" s="562">
        <v>36924.699999999997</v>
      </c>
      <c r="AT30" s="562">
        <v>34760.5</v>
      </c>
      <c r="AU30" s="562">
        <v>46.8</v>
      </c>
      <c r="AV30" s="562">
        <f>1153279.1-25.72</f>
        <v>1153253.3800000001</v>
      </c>
      <c r="AW30" s="562">
        <v>7752.4</v>
      </c>
      <c r="AX30" s="562">
        <f t="shared" si="16"/>
        <v>1161005.78</v>
      </c>
      <c r="AY30" s="562">
        <f>0.055*AX27</f>
        <v>61861.258250000006</v>
      </c>
      <c r="AZ30" s="562">
        <f t="shared" ref="AZ30:AZ53" si="35">BA30-AY30</f>
        <v>8468.7055499999915</v>
      </c>
      <c r="BA30" s="360">
        <f>70408.7-2.9662-75.77</f>
        <v>70329.963799999998</v>
      </c>
      <c r="BB30" s="562">
        <v>3076386.8</v>
      </c>
      <c r="BC30" s="562">
        <f t="shared" ref="BC30:BC41" si="36">L30+BA30</f>
        <v>242758.16380000001</v>
      </c>
      <c r="BD30" s="562">
        <v>2388.6</v>
      </c>
      <c r="BE30" s="562">
        <v>29206.2</v>
      </c>
      <c r="BF30" s="562">
        <v>4762.2</v>
      </c>
      <c r="BG30" s="562">
        <v>185491.3</v>
      </c>
      <c r="BH30" s="562">
        <f t="shared" si="19"/>
        <v>221848.30000000002</v>
      </c>
      <c r="BI30" s="376" t="s">
        <v>742</v>
      </c>
      <c r="BJ30" s="367">
        <v>14.73</v>
      </c>
      <c r="BK30" s="367">
        <v>4.57</v>
      </c>
      <c r="BL30" s="367">
        <v>-0.72</v>
      </c>
      <c r="BM30" s="367">
        <v>0.91</v>
      </c>
      <c r="BN30" s="367">
        <v>0.82</v>
      </c>
      <c r="BO30" s="367" t="s">
        <v>430</v>
      </c>
      <c r="BP30" s="367" t="s">
        <v>430</v>
      </c>
      <c r="BQ30" s="368" t="s">
        <v>430</v>
      </c>
      <c r="BR30" s="368">
        <v>10375</v>
      </c>
      <c r="BS30" s="368">
        <v>3760</v>
      </c>
      <c r="BT30" s="367">
        <f t="shared" si="20"/>
        <v>104.95233059711472</v>
      </c>
      <c r="BU30" s="367">
        <f t="shared" ref="BU30:BU40" si="37">AV30/BR30</f>
        <v>111.15695228915664</v>
      </c>
      <c r="BV30" s="367">
        <f t="shared" ref="BV30:BV53" si="38">AP30/BR30</f>
        <v>116.66181204819277</v>
      </c>
      <c r="BW30" s="367">
        <f t="shared" ref="BW30:BW41" si="39">(M30+BA30)/AV30*100</f>
        <v>7.3641287572033827</v>
      </c>
      <c r="BX30" s="367">
        <v>5</v>
      </c>
      <c r="BY30" s="367">
        <v>5.56</v>
      </c>
      <c r="BZ30" s="367">
        <v>9.59</v>
      </c>
      <c r="CA30" s="367">
        <f t="shared" si="24"/>
        <v>4.03</v>
      </c>
      <c r="CB30" s="367">
        <v>10.65</v>
      </c>
      <c r="CC30" s="367">
        <v>12.99</v>
      </c>
      <c r="CD30" s="367">
        <f t="shared" si="25"/>
        <v>2.34</v>
      </c>
    </row>
    <row r="31" spans="1:82" s="213" customFormat="1" ht="10.5" customHeight="1">
      <c r="A31" s="211"/>
      <c r="B31" s="211"/>
      <c r="C31" s="211"/>
      <c r="D31" s="211"/>
      <c r="E31" s="211"/>
      <c r="F31" s="211"/>
      <c r="G31" s="211"/>
      <c r="H31" s="211"/>
      <c r="I31" s="211" t="s">
        <v>743</v>
      </c>
      <c r="J31" s="568">
        <v>178627.1</v>
      </c>
      <c r="K31" s="568">
        <v>1534.4</v>
      </c>
      <c r="L31" s="568">
        <f t="shared" si="6"/>
        <v>180161.5</v>
      </c>
      <c r="M31" s="568">
        <v>14990.9</v>
      </c>
      <c r="N31" s="568">
        <f t="shared" si="7"/>
        <v>165170.6</v>
      </c>
      <c r="O31" s="568">
        <v>33549.1</v>
      </c>
      <c r="P31" s="568">
        <v>78804.399999999994</v>
      </c>
      <c r="Q31" s="568">
        <v>110436.4</v>
      </c>
      <c r="R31" s="568">
        <v>969983.5</v>
      </c>
      <c r="S31" s="568">
        <f t="shared" si="8"/>
        <v>1080419.8999999999</v>
      </c>
      <c r="T31" s="568">
        <f t="shared" si="9"/>
        <v>1159224.2999999998</v>
      </c>
      <c r="U31" s="568">
        <v>714.8</v>
      </c>
      <c r="V31" s="568">
        <v>251388</v>
      </c>
      <c r="W31" s="568">
        <f t="shared" si="32"/>
        <v>276321.8</v>
      </c>
      <c r="X31" s="568">
        <f t="shared" si="33"/>
        <v>1246305.3</v>
      </c>
      <c r="Y31" s="568">
        <v>1564894</v>
      </c>
      <c r="Z31" s="211" t="s">
        <v>743</v>
      </c>
      <c r="AA31" s="294">
        <v>0</v>
      </c>
      <c r="AB31" s="568">
        <v>21484.9</v>
      </c>
      <c r="AC31" s="568">
        <v>956876.6</v>
      </c>
      <c r="AD31" s="568">
        <f t="shared" si="12"/>
        <v>978361.5</v>
      </c>
      <c r="AE31" s="294">
        <v>0</v>
      </c>
      <c r="AF31" s="568">
        <v>2049.9</v>
      </c>
      <c r="AG31" s="568">
        <v>27929.1</v>
      </c>
      <c r="AH31" s="568">
        <f t="shared" si="13"/>
        <v>29979</v>
      </c>
      <c r="AI31" s="586">
        <v>28508.3</v>
      </c>
      <c r="AJ31" s="586">
        <v>192166.6</v>
      </c>
      <c r="AK31" s="586">
        <v>17791.099999999999</v>
      </c>
      <c r="AL31" s="586">
        <f t="shared" si="14"/>
        <v>209957.7</v>
      </c>
      <c r="AM31" s="586">
        <f t="shared" si="34"/>
        <v>28508.3</v>
      </c>
      <c r="AN31" s="586">
        <f t="shared" si="34"/>
        <v>215701.40000000002</v>
      </c>
      <c r="AO31" s="586">
        <f t="shared" si="34"/>
        <v>1002596.7999999999</v>
      </c>
      <c r="AP31" s="586">
        <f t="shared" si="34"/>
        <v>1218298.2</v>
      </c>
      <c r="AQ31" s="211" t="s">
        <v>743</v>
      </c>
      <c r="AR31" s="568">
        <v>8392</v>
      </c>
      <c r="AS31" s="568">
        <v>39354.6</v>
      </c>
      <c r="AT31" s="568">
        <v>33914.300000000003</v>
      </c>
      <c r="AU31" s="568">
        <v>29.2</v>
      </c>
      <c r="AV31" s="568">
        <f>1159273.3-25.32</f>
        <v>1159247.98</v>
      </c>
      <c r="AW31" s="568">
        <v>9232.5</v>
      </c>
      <c r="AX31" s="568">
        <f t="shared" si="16"/>
        <v>1168480.48</v>
      </c>
      <c r="AY31" s="568">
        <f>0.055*AX28</f>
        <v>63527.435400000002</v>
      </c>
      <c r="AZ31" s="568">
        <f t="shared" si="35"/>
        <v>6915.7630999999965</v>
      </c>
      <c r="BA31" s="293">
        <f>70511.7-2.7315-65.77</f>
        <v>70443.198499999999</v>
      </c>
      <c r="BB31" s="568">
        <v>3133103.4</v>
      </c>
      <c r="BC31" s="568">
        <f t="shared" si="36"/>
        <v>250604.6985</v>
      </c>
      <c r="BD31" s="568">
        <v>0</v>
      </c>
      <c r="BE31" s="568">
        <v>36638.199999999997</v>
      </c>
      <c r="BF31" s="568">
        <v>4768.2</v>
      </c>
      <c r="BG31" s="568">
        <v>189005.8</v>
      </c>
      <c r="BH31" s="568">
        <f t="shared" si="19"/>
        <v>230412.2</v>
      </c>
      <c r="BI31" s="211" t="s">
        <v>743</v>
      </c>
      <c r="BJ31" s="325">
        <v>22.16</v>
      </c>
      <c r="BK31" s="325">
        <v>4.4800000000000004</v>
      </c>
      <c r="BL31" s="325">
        <v>-0.28000000000000003</v>
      </c>
      <c r="BM31" s="325">
        <v>2.0299999999999998</v>
      </c>
      <c r="BN31" s="325">
        <v>2.19</v>
      </c>
      <c r="BO31" s="325" t="s">
        <v>430</v>
      </c>
      <c r="BP31" s="325" t="s">
        <v>430</v>
      </c>
      <c r="BQ31" s="477" t="s">
        <v>430</v>
      </c>
      <c r="BR31" s="477">
        <v>10388</v>
      </c>
      <c r="BS31" s="477">
        <v>3760</v>
      </c>
      <c r="BT31" s="325">
        <f t="shared" si="20"/>
        <v>105.0938385072709</v>
      </c>
      <c r="BU31" s="325">
        <f t="shared" si="37"/>
        <v>111.59491528686947</v>
      </c>
      <c r="BV31" s="325">
        <f t="shared" si="38"/>
        <v>117.27938005390835</v>
      </c>
      <c r="BW31" s="325">
        <f t="shared" si="39"/>
        <v>7.3697862729939789</v>
      </c>
      <c r="BX31" s="325">
        <v>5</v>
      </c>
      <c r="BY31" s="325">
        <v>5.6</v>
      </c>
      <c r="BZ31" s="325">
        <v>9.6</v>
      </c>
      <c r="CA31" s="325">
        <f t="shared" si="24"/>
        <v>4</v>
      </c>
      <c r="CB31" s="325">
        <v>10.62</v>
      </c>
      <c r="CC31" s="325">
        <v>12.96</v>
      </c>
      <c r="CD31" s="325">
        <f t="shared" si="25"/>
        <v>2.3400000000000016</v>
      </c>
    </row>
    <row r="32" spans="1:82" s="213" customFormat="1" ht="10.5" customHeight="1">
      <c r="A32" s="211"/>
      <c r="B32" s="211"/>
      <c r="C32" s="211"/>
      <c r="D32" s="211"/>
      <c r="E32" s="211"/>
      <c r="F32" s="211"/>
      <c r="G32" s="211"/>
      <c r="H32" s="211"/>
      <c r="I32" s="376" t="s">
        <v>737</v>
      </c>
      <c r="J32" s="562">
        <v>172411.3</v>
      </c>
      <c r="K32" s="562">
        <v>1535.5</v>
      </c>
      <c r="L32" s="562">
        <f t="shared" si="6"/>
        <v>173946.8</v>
      </c>
      <c r="M32" s="562">
        <v>16039.1</v>
      </c>
      <c r="N32" s="562">
        <f t="shared" si="7"/>
        <v>157907.69999999998</v>
      </c>
      <c r="O32" s="562">
        <v>31008.9</v>
      </c>
      <c r="P32" s="562">
        <v>76928.800000000003</v>
      </c>
      <c r="Q32" s="562">
        <v>112179.2</v>
      </c>
      <c r="R32" s="562">
        <v>981061.1</v>
      </c>
      <c r="S32" s="562">
        <f t="shared" si="8"/>
        <v>1093240.3</v>
      </c>
      <c r="T32" s="562">
        <f t="shared" si="9"/>
        <v>1170169.1000000001</v>
      </c>
      <c r="U32" s="562">
        <v>732.9</v>
      </c>
      <c r="V32" s="562">
        <v>247187.99999999997</v>
      </c>
      <c r="W32" s="562">
        <f t="shared" si="32"/>
        <v>270819.8</v>
      </c>
      <c r="X32" s="562">
        <f t="shared" si="33"/>
        <v>1251880.8999999999</v>
      </c>
      <c r="Y32" s="562">
        <v>1571616.2</v>
      </c>
      <c r="Z32" s="376" t="s">
        <v>737</v>
      </c>
      <c r="AA32" s="361">
        <v>0</v>
      </c>
      <c r="AB32" s="562">
        <v>22208.799999999999</v>
      </c>
      <c r="AC32" s="562">
        <v>966257.3</v>
      </c>
      <c r="AD32" s="562">
        <f t="shared" si="12"/>
        <v>988466.10000000009</v>
      </c>
      <c r="AE32" s="361">
        <v>0</v>
      </c>
      <c r="AF32" s="562">
        <v>2019.2</v>
      </c>
      <c r="AG32" s="562">
        <v>27340.6</v>
      </c>
      <c r="AH32" s="562">
        <f t="shared" si="13"/>
        <v>29359.8</v>
      </c>
      <c r="AI32" s="566">
        <v>23976.400000000001</v>
      </c>
      <c r="AJ32" s="566">
        <v>194291.4</v>
      </c>
      <c r="AK32" s="566">
        <v>18281.400000000001</v>
      </c>
      <c r="AL32" s="566">
        <f t="shared" si="14"/>
        <v>212572.79999999999</v>
      </c>
      <c r="AM32" s="566">
        <f t="shared" si="34"/>
        <v>23976.400000000001</v>
      </c>
      <c r="AN32" s="566">
        <f t="shared" si="34"/>
        <v>218519.4</v>
      </c>
      <c r="AO32" s="566">
        <f t="shared" si="34"/>
        <v>1011879.3</v>
      </c>
      <c r="AP32" s="566">
        <f t="shared" si="34"/>
        <v>1230398.7000000002</v>
      </c>
      <c r="AQ32" s="376" t="s">
        <v>737</v>
      </c>
      <c r="AR32" s="562">
        <v>8342.7999999999993</v>
      </c>
      <c r="AS32" s="562">
        <v>37687.699999999997</v>
      </c>
      <c r="AT32" s="562">
        <v>32718.6</v>
      </c>
      <c r="AU32" s="562">
        <v>133.69999999999999</v>
      </c>
      <c r="AV32" s="562">
        <f>1170218.1-25.41</f>
        <v>1170192.6900000002</v>
      </c>
      <c r="AW32" s="562">
        <v>8136.6</v>
      </c>
      <c r="AX32" s="562">
        <f t="shared" si="16"/>
        <v>1178329.2900000003</v>
      </c>
      <c r="AY32" s="562">
        <f>0.055*AX30</f>
        <v>63855.317900000002</v>
      </c>
      <c r="AZ32" s="562">
        <f t="shared" si="35"/>
        <v>8585.5851999999941</v>
      </c>
      <c r="BA32" s="360">
        <f>72508.3-1.6869-65.71</f>
        <v>72440.903099999996</v>
      </c>
      <c r="BB32" s="562">
        <v>3159959.6</v>
      </c>
      <c r="BC32" s="562">
        <f t="shared" si="36"/>
        <v>246387.70309999998</v>
      </c>
      <c r="BD32" s="562">
        <v>0</v>
      </c>
      <c r="BE32" s="562">
        <v>33948</v>
      </c>
      <c r="BF32" s="562">
        <v>4372.3999999999996</v>
      </c>
      <c r="BG32" s="562">
        <v>190880.8</v>
      </c>
      <c r="BH32" s="562">
        <f t="shared" si="19"/>
        <v>229201.19999999998</v>
      </c>
      <c r="BI32" s="376" t="s">
        <v>737</v>
      </c>
      <c r="BJ32" s="367">
        <v>24.28</v>
      </c>
      <c r="BK32" s="367">
        <v>10.24</v>
      </c>
      <c r="BL32" s="367">
        <v>0.64</v>
      </c>
      <c r="BM32" s="367">
        <v>3.17</v>
      </c>
      <c r="BN32" s="367">
        <v>2.65</v>
      </c>
      <c r="BO32" s="367" t="s">
        <v>430</v>
      </c>
      <c r="BP32" s="367" t="s">
        <v>430</v>
      </c>
      <c r="BQ32" s="368" t="s">
        <v>430</v>
      </c>
      <c r="BR32" s="368">
        <v>10406</v>
      </c>
      <c r="BS32" s="368">
        <v>3763</v>
      </c>
      <c r="BT32" s="367">
        <f t="shared" si="20"/>
        <v>105.14496548427421</v>
      </c>
      <c r="BU32" s="367">
        <f t="shared" si="37"/>
        <v>112.45365077839709</v>
      </c>
      <c r="BV32" s="367">
        <f t="shared" si="38"/>
        <v>118.23935229675189</v>
      </c>
      <c r="BW32" s="367">
        <f t="shared" si="39"/>
        <v>7.5611481644104268</v>
      </c>
      <c r="BX32" s="367">
        <v>5</v>
      </c>
      <c r="BY32" s="367">
        <v>5.65</v>
      </c>
      <c r="BZ32" s="367">
        <v>9.56</v>
      </c>
      <c r="CA32" s="367">
        <f t="shared" si="24"/>
        <v>3.91</v>
      </c>
      <c r="CB32" s="367">
        <v>10.62</v>
      </c>
      <c r="CC32" s="367">
        <v>12.91</v>
      </c>
      <c r="CD32" s="367">
        <f t="shared" si="25"/>
        <v>2.2900000000000009</v>
      </c>
    </row>
    <row r="33" spans="1:85" s="213" customFormat="1" ht="10.5" customHeight="1">
      <c r="A33" s="211"/>
      <c r="B33" s="211"/>
      <c r="C33" s="211"/>
      <c r="D33" s="211"/>
      <c r="E33" s="211"/>
      <c r="F33" s="211"/>
      <c r="G33" s="211"/>
      <c r="H33" s="211"/>
      <c r="I33" s="211" t="s">
        <v>744</v>
      </c>
      <c r="J33" s="568">
        <v>167210.1</v>
      </c>
      <c r="K33" s="568">
        <v>1535</v>
      </c>
      <c r="L33" s="568">
        <f t="shared" si="6"/>
        <v>168745.1</v>
      </c>
      <c r="M33" s="568">
        <v>13917.4</v>
      </c>
      <c r="N33" s="568">
        <f t="shared" si="7"/>
        <v>154827.70000000001</v>
      </c>
      <c r="O33" s="568">
        <v>30746.7</v>
      </c>
      <c r="P33" s="568">
        <v>80454.2</v>
      </c>
      <c r="Q33" s="568">
        <v>113252</v>
      </c>
      <c r="R33" s="568">
        <v>993006.4</v>
      </c>
      <c r="S33" s="568">
        <f t="shared" si="8"/>
        <v>1106258.3999999999</v>
      </c>
      <c r="T33" s="568">
        <f t="shared" si="9"/>
        <v>1186712.5999999999</v>
      </c>
      <c r="U33" s="568">
        <v>725.1</v>
      </c>
      <c r="V33" s="568">
        <v>251037.9</v>
      </c>
      <c r="W33" s="568">
        <f t="shared" si="32"/>
        <v>268804.8</v>
      </c>
      <c r="X33" s="568">
        <f t="shared" si="33"/>
        <v>1261811.2</v>
      </c>
      <c r="Y33" s="568">
        <v>1582129.1999999997</v>
      </c>
      <c r="Z33" s="211" t="s">
        <v>744</v>
      </c>
      <c r="AA33" s="294">
        <v>0</v>
      </c>
      <c r="AB33" s="568">
        <v>22417.4</v>
      </c>
      <c r="AC33" s="568">
        <v>975834.8</v>
      </c>
      <c r="AD33" s="568">
        <f t="shared" si="12"/>
        <v>998252.20000000007</v>
      </c>
      <c r="AE33" s="294">
        <v>0</v>
      </c>
      <c r="AF33" s="568">
        <v>1926.5</v>
      </c>
      <c r="AG33" s="568">
        <v>26619.599999999999</v>
      </c>
      <c r="AH33" s="568">
        <f t="shared" si="13"/>
        <v>28546.1</v>
      </c>
      <c r="AI33" s="586">
        <v>23762.799999999999</v>
      </c>
      <c r="AJ33" s="586">
        <v>199205.7</v>
      </c>
      <c r="AK33" s="586">
        <v>18688.8</v>
      </c>
      <c r="AL33" s="586">
        <f t="shared" si="14"/>
        <v>217894.5</v>
      </c>
      <c r="AM33" s="586">
        <f t="shared" si="34"/>
        <v>23762.799999999999</v>
      </c>
      <c r="AN33" s="586">
        <f t="shared" si="34"/>
        <v>223549.6</v>
      </c>
      <c r="AO33" s="586">
        <f t="shared" si="34"/>
        <v>1021143.2000000001</v>
      </c>
      <c r="AP33" s="586">
        <f t="shared" si="34"/>
        <v>1244692.8</v>
      </c>
      <c r="AQ33" s="211" t="s">
        <v>744</v>
      </c>
      <c r="AR33" s="568">
        <v>7807.3</v>
      </c>
      <c r="AS33" s="568">
        <v>37657.800000000003</v>
      </c>
      <c r="AT33" s="568">
        <v>29362.1</v>
      </c>
      <c r="AU33" s="568">
        <v>47.9</v>
      </c>
      <c r="AV33" s="568">
        <f>1186761.7-25</f>
        <v>1186736.7</v>
      </c>
      <c r="AW33" s="568">
        <v>8818.7999999999993</v>
      </c>
      <c r="AX33" s="568">
        <f t="shared" si="16"/>
        <v>1195555.5</v>
      </c>
      <c r="AY33" s="568">
        <f>0.055*AX31</f>
        <v>64266.426399999997</v>
      </c>
      <c r="AZ33" s="568">
        <f t="shared" si="35"/>
        <v>17234.619899999991</v>
      </c>
      <c r="BA33" s="293">
        <f>81567.7-0.9437-65.71</f>
        <v>81501.046299999987</v>
      </c>
      <c r="BB33" s="568">
        <v>3217841.2</v>
      </c>
      <c r="BC33" s="568">
        <f t="shared" si="36"/>
        <v>250246.14629999999</v>
      </c>
      <c r="BD33" s="568">
        <v>6000</v>
      </c>
      <c r="BE33" s="568">
        <v>33826.9</v>
      </c>
      <c r="BF33" s="568">
        <v>4589.6000000000004</v>
      </c>
      <c r="BG33" s="568">
        <v>195595.2</v>
      </c>
      <c r="BH33" s="568">
        <f t="shared" si="19"/>
        <v>240011.7</v>
      </c>
      <c r="BI33" s="211" t="s">
        <v>744</v>
      </c>
      <c r="BJ33" s="325">
        <v>30.35</v>
      </c>
      <c r="BK33" s="325">
        <v>10.67</v>
      </c>
      <c r="BL33" s="325">
        <v>1.55</v>
      </c>
      <c r="BM33" s="325">
        <v>4.58</v>
      </c>
      <c r="BN33" s="325">
        <v>3.46</v>
      </c>
      <c r="BO33" s="325" t="s">
        <v>430</v>
      </c>
      <c r="BP33" s="325" t="s">
        <v>430</v>
      </c>
      <c r="BQ33" s="477" t="s">
        <v>430</v>
      </c>
      <c r="BR33" s="477">
        <v>10426</v>
      </c>
      <c r="BS33" s="477">
        <v>3764</v>
      </c>
      <c r="BT33" s="325">
        <f t="shared" si="20"/>
        <v>104.88365279341241</v>
      </c>
      <c r="BU33" s="325">
        <f t="shared" si="37"/>
        <v>113.82473623633224</v>
      </c>
      <c r="BV33" s="325">
        <f t="shared" si="38"/>
        <v>119.38354114713218</v>
      </c>
      <c r="BW33" s="325">
        <f t="shared" si="39"/>
        <v>8.0404057867259002</v>
      </c>
      <c r="BX33" s="325">
        <v>5</v>
      </c>
      <c r="BY33" s="325">
        <v>5.66</v>
      </c>
      <c r="BZ33" s="325">
        <v>9.58</v>
      </c>
      <c r="CA33" s="325">
        <f t="shared" si="24"/>
        <v>3.92</v>
      </c>
      <c r="CB33" s="325">
        <v>10.6</v>
      </c>
      <c r="CC33" s="325">
        <v>12.98</v>
      </c>
      <c r="CD33" s="325">
        <f t="shared" si="25"/>
        <v>2.3800000000000008</v>
      </c>
    </row>
    <row r="34" spans="1:85" s="213" customFormat="1" ht="10.5" customHeight="1">
      <c r="A34" s="211"/>
      <c r="B34" s="211"/>
      <c r="C34" s="211"/>
      <c r="D34" s="211"/>
      <c r="E34" s="211"/>
      <c r="F34" s="211"/>
      <c r="G34" s="211"/>
      <c r="H34" s="211"/>
      <c r="I34" s="376" t="s">
        <v>745</v>
      </c>
      <c r="J34" s="562">
        <v>167464.6</v>
      </c>
      <c r="K34" s="562">
        <v>1535.7</v>
      </c>
      <c r="L34" s="562">
        <f t="shared" si="6"/>
        <v>169000.30000000002</v>
      </c>
      <c r="M34" s="562">
        <v>13746.7</v>
      </c>
      <c r="N34" s="562">
        <f t="shared" si="7"/>
        <v>155253.6</v>
      </c>
      <c r="O34" s="562">
        <v>29462.2</v>
      </c>
      <c r="P34" s="562">
        <v>81391.100000000006</v>
      </c>
      <c r="Q34" s="562">
        <v>113932.7</v>
      </c>
      <c r="R34" s="562">
        <v>1005555.2</v>
      </c>
      <c r="S34" s="562">
        <f t="shared" si="8"/>
        <v>1119487.8999999999</v>
      </c>
      <c r="T34" s="562">
        <f t="shared" si="9"/>
        <v>1200879</v>
      </c>
      <c r="U34" s="562">
        <v>735.5</v>
      </c>
      <c r="V34" s="562">
        <v>246186.90000000002</v>
      </c>
      <c r="W34" s="562">
        <f t="shared" si="32"/>
        <v>269921.8</v>
      </c>
      <c r="X34" s="562">
        <f t="shared" si="33"/>
        <v>1275477</v>
      </c>
      <c r="Y34" s="562">
        <v>1597260.0999999999</v>
      </c>
      <c r="Z34" s="376" t="s">
        <v>745</v>
      </c>
      <c r="AA34" s="361">
        <v>0</v>
      </c>
      <c r="AB34" s="562">
        <v>23292.3</v>
      </c>
      <c r="AC34" s="562">
        <v>984935</v>
      </c>
      <c r="AD34" s="562">
        <f t="shared" si="12"/>
        <v>1008227.3</v>
      </c>
      <c r="AE34" s="361">
        <v>0</v>
      </c>
      <c r="AF34" s="562">
        <v>1882.7</v>
      </c>
      <c r="AG34" s="562">
        <v>27297.1</v>
      </c>
      <c r="AH34" s="562">
        <f t="shared" si="13"/>
        <v>29179.8</v>
      </c>
      <c r="AI34" s="566">
        <v>24441.1</v>
      </c>
      <c r="AJ34" s="566">
        <v>208745.9</v>
      </c>
      <c r="AK34" s="566">
        <v>18778.400000000001</v>
      </c>
      <c r="AL34" s="566">
        <f t="shared" si="14"/>
        <v>227524.3</v>
      </c>
      <c r="AM34" s="566">
        <f t="shared" si="34"/>
        <v>24441.1</v>
      </c>
      <c r="AN34" s="566">
        <f t="shared" si="34"/>
        <v>233920.9</v>
      </c>
      <c r="AO34" s="566">
        <f t="shared" si="34"/>
        <v>1031010.5</v>
      </c>
      <c r="AP34" s="566">
        <f t="shared" si="34"/>
        <v>1264931.4000000001</v>
      </c>
      <c r="AQ34" s="376" t="s">
        <v>745</v>
      </c>
      <c r="AR34" s="562">
        <v>6810.6</v>
      </c>
      <c r="AS34" s="562">
        <v>37840.800000000003</v>
      </c>
      <c r="AT34" s="562">
        <v>29979.9</v>
      </c>
      <c r="AU34" s="562">
        <v>61.8</v>
      </c>
      <c r="AV34" s="562">
        <f>1200928.2-25.38</f>
        <v>1200902.82</v>
      </c>
      <c r="AW34" s="562">
        <v>9226.4</v>
      </c>
      <c r="AX34" s="562">
        <f t="shared" si="16"/>
        <v>1210129.22</v>
      </c>
      <c r="AY34" s="562">
        <f>0.055*AX32</f>
        <v>64808.110950000017</v>
      </c>
      <c r="AZ34" s="562">
        <f t="shared" si="35"/>
        <v>11576.159549999982</v>
      </c>
      <c r="BA34" s="360">
        <f>76451.1-1.1195-65.71</f>
        <v>76384.270499999999</v>
      </c>
      <c r="BB34" s="562">
        <v>3261591.5</v>
      </c>
      <c r="BC34" s="562">
        <f t="shared" si="36"/>
        <v>245384.57050000003</v>
      </c>
      <c r="BD34" s="562">
        <v>5957.9</v>
      </c>
      <c r="BE34" s="562">
        <v>31648.6</v>
      </c>
      <c r="BF34" s="562">
        <v>4421.2</v>
      </c>
      <c r="BG34" s="562">
        <v>205136.1</v>
      </c>
      <c r="BH34" s="562">
        <f t="shared" si="19"/>
        <v>247163.80000000002</v>
      </c>
      <c r="BI34" s="376" t="s">
        <v>745</v>
      </c>
      <c r="BJ34" s="367">
        <v>35.46</v>
      </c>
      <c r="BK34" s="367">
        <v>15.39</v>
      </c>
      <c r="BL34" s="367">
        <v>2.5299999999999998</v>
      </c>
      <c r="BM34" s="367">
        <v>6.04</v>
      </c>
      <c r="BN34" s="367">
        <v>4.58</v>
      </c>
      <c r="BO34" s="367" t="s">
        <v>430</v>
      </c>
      <c r="BP34" s="367" t="s">
        <v>430</v>
      </c>
      <c r="BQ34" s="368" t="s">
        <v>430</v>
      </c>
      <c r="BR34" s="368">
        <v>10467</v>
      </c>
      <c r="BS34" s="368">
        <v>3765</v>
      </c>
      <c r="BT34" s="367">
        <f t="shared" si="20"/>
        <v>105.33170369272678</v>
      </c>
      <c r="BU34" s="367">
        <f t="shared" si="37"/>
        <v>114.73228432215535</v>
      </c>
      <c r="BV34" s="367">
        <f t="shared" si="38"/>
        <v>120.84946976210951</v>
      </c>
      <c r="BW34" s="367">
        <f t="shared" si="39"/>
        <v>7.5052676202392465</v>
      </c>
      <c r="BX34" s="367">
        <v>5</v>
      </c>
      <c r="BY34" s="367">
        <v>5.71</v>
      </c>
      <c r="BZ34" s="367">
        <v>9.6300000000000008</v>
      </c>
      <c r="CA34" s="367">
        <f t="shared" si="24"/>
        <v>3.9200000000000008</v>
      </c>
      <c r="CB34" s="367">
        <v>10.57</v>
      </c>
      <c r="CC34" s="367">
        <v>12.97</v>
      </c>
      <c r="CD34" s="367">
        <f t="shared" si="25"/>
        <v>2.4000000000000004</v>
      </c>
    </row>
    <row r="35" spans="1:85" s="213" customFormat="1" ht="10.5" customHeight="1">
      <c r="A35" s="211"/>
      <c r="B35" s="211"/>
      <c r="C35" s="211"/>
      <c r="D35" s="211"/>
      <c r="E35" s="211"/>
      <c r="F35" s="211"/>
      <c r="G35" s="211"/>
      <c r="H35" s="211"/>
      <c r="I35" s="211" t="s">
        <v>738</v>
      </c>
      <c r="J35" s="568">
        <v>170395.7</v>
      </c>
      <c r="K35" s="568">
        <v>1535.8</v>
      </c>
      <c r="L35" s="568">
        <f t="shared" si="6"/>
        <v>171931.5</v>
      </c>
      <c r="M35" s="568">
        <v>15348.5</v>
      </c>
      <c r="N35" s="568">
        <f t="shared" si="7"/>
        <v>156583</v>
      </c>
      <c r="O35" s="568">
        <v>32006.400000000001</v>
      </c>
      <c r="P35" s="568">
        <v>84983.8</v>
      </c>
      <c r="Q35" s="568">
        <v>118482.9</v>
      </c>
      <c r="R35" s="568">
        <v>1018496.7</v>
      </c>
      <c r="S35" s="568">
        <f t="shared" si="8"/>
        <v>1136979.5999999999</v>
      </c>
      <c r="T35" s="568">
        <f t="shared" si="9"/>
        <v>1221963.3999999999</v>
      </c>
      <c r="U35" s="568">
        <v>872.5</v>
      </c>
      <c r="V35" s="568">
        <v>250911.9</v>
      </c>
      <c r="W35" s="568">
        <f t="shared" si="32"/>
        <v>275938.40000000002</v>
      </c>
      <c r="X35" s="568">
        <f t="shared" si="33"/>
        <v>1294435.1000000001</v>
      </c>
      <c r="Y35" s="568">
        <v>1617359.2</v>
      </c>
      <c r="Z35" s="211" t="s">
        <v>738</v>
      </c>
      <c r="AA35" s="294">
        <v>0</v>
      </c>
      <c r="AB35" s="568">
        <v>27304.799999999999</v>
      </c>
      <c r="AC35" s="568">
        <v>1002373.5</v>
      </c>
      <c r="AD35" s="568">
        <f t="shared" si="12"/>
        <v>1029678.3</v>
      </c>
      <c r="AE35" s="294">
        <v>0</v>
      </c>
      <c r="AF35" s="568">
        <v>1748.1</v>
      </c>
      <c r="AG35" s="568">
        <v>27280.9</v>
      </c>
      <c r="AH35" s="568">
        <f t="shared" si="13"/>
        <v>29029</v>
      </c>
      <c r="AI35" s="586">
        <v>25938.9</v>
      </c>
      <c r="AJ35" s="586">
        <v>211094.5</v>
      </c>
      <c r="AK35" s="586">
        <v>18628.900000000001</v>
      </c>
      <c r="AL35" s="586">
        <f t="shared" si="14"/>
        <v>229723.4</v>
      </c>
      <c r="AM35" s="586">
        <f t="shared" si="34"/>
        <v>25938.9</v>
      </c>
      <c r="AN35" s="586">
        <f t="shared" si="34"/>
        <v>240147.4</v>
      </c>
      <c r="AO35" s="586">
        <f t="shared" si="34"/>
        <v>1048283.3</v>
      </c>
      <c r="AP35" s="586">
        <f t="shared" si="34"/>
        <v>1288430.7</v>
      </c>
      <c r="AQ35" s="211" t="s">
        <v>738</v>
      </c>
      <c r="AR35" s="568">
        <v>6638.1</v>
      </c>
      <c r="AS35" s="568">
        <v>40542.6</v>
      </c>
      <c r="AT35" s="568">
        <v>29944.400000000001</v>
      </c>
      <c r="AU35" s="568">
        <v>47</v>
      </c>
      <c r="AV35" s="568">
        <f>1222012.7-26.62</f>
        <v>1221986.0799999998</v>
      </c>
      <c r="AW35" s="568">
        <v>8738.6</v>
      </c>
      <c r="AX35" s="568">
        <f t="shared" si="16"/>
        <v>1230724.68</v>
      </c>
      <c r="AY35" s="568">
        <f>0.055*AX33</f>
        <v>65755.552500000005</v>
      </c>
      <c r="AZ35" s="568">
        <f t="shared" si="35"/>
        <v>12284.926899999977</v>
      </c>
      <c r="BA35" s="293">
        <f>78107.9-1.7106-65.71</f>
        <v>78040.479399999982</v>
      </c>
      <c r="BB35" s="568">
        <v>3113917.5</v>
      </c>
      <c r="BC35" s="568">
        <f t="shared" si="36"/>
        <v>249971.97939999998</v>
      </c>
      <c r="BD35" s="568">
        <v>5113.8999999999996</v>
      </c>
      <c r="BE35" s="568">
        <v>36958.1</v>
      </c>
      <c r="BF35" s="568">
        <v>4597.6000000000004</v>
      </c>
      <c r="BG35" s="568">
        <v>207557.1</v>
      </c>
      <c r="BH35" s="568">
        <f t="shared" si="19"/>
        <v>254226.7</v>
      </c>
      <c r="BI35" s="211" t="s">
        <v>738</v>
      </c>
      <c r="BJ35" s="325">
        <v>38.479999999999997</v>
      </c>
      <c r="BK35" s="325">
        <v>30.96</v>
      </c>
      <c r="BL35" s="325">
        <v>4.25</v>
      </c>
      <c r="BM35" s="325">
        <v>8.17</v>
      </c>
      <c r="BN35" s="325">
        <v>6.14</v>
      </c>
      <c r="BO35" s="325" t="s">
        <v>430</v>
      </c>
      <c r="BP35" s="325" t="s">
        <v>430</v>
      </c>
      <c r="BQ35" s="477" t="s">
        <v>430</v>
      </c>
      <c r="BR35" s="477">
        <v>10578</v>
      </c>
      <c r="BS35" s="477">
        <v>3773</v>
      </c>
      <c r="BT35" s="325">
        <f t="shared" si="20"/>
        <v>105.43742855074095</v>
      </c>
      <c r="BU35" s="325">
        <f t="shared" si="37"/>
        <v>115.52146719606729</v>
      </c>
      <c r="BV35" s="325">
        <f t="shared" si="38"/>
        <v>121.80286443562109</v>
      </c>
      <c r="BW35" s="325">
        <f t="shared" si="39"/>
        <v>7.6423930622843095</v>
      </c>
      <c r="BX35" s="325">
        <v>5</v>
      </c>
      <c r="BY35" s="325">
        <v>5.7</v>
      </c>
      <c r="BZ35" s="325">
        <v>9.68</v>
      </c>
      <c r="CA35" s="325">
        <f t="shared" si="24"/>
        <v>3.9799999999999995</v>
      </c>
      <c r="CB35" s="325">
        <v>10.55</v>
      </c>
      <c r="CC35" s="325">
        <v>13.01</v>
      </c>
      <c r="CD35" s="325">
        <f t="shared" si="25"/>
        <v>2.4599999999999991</v>
      </c>
    </row>
    <row r="36" spans="1:85" s="213" customFormat="1" ht="10.5" customHeight="1">
      <c r="A36" s="211"/>
      <c r="B36" s="211"/>
      <c r="C36" s="211"/>
      <c r="D36" s="211"/>
      <c r="E36" s="211"/>
      <c r="F36" s="211"/>
      <c r="G36" s="211"/>
      <c r="H36" s="211"/>
      <c r="I36" s="376" t="s">
        <v>746</v>
      </c>
      <c r="J36" s="562">
        <v>171815.6</v>
      </c>
      <c r="K36" s="562">
        <v>1536.7</v>
      </c>
      <c r="L36" s="562">
        <f t="shared" si="6"/>
        <v>173352.30000000002</v>
      </c>
      <c r="M36" s="562">
        <v>14434.7</v>
      </c>
      <c r="N36" s="562">
        <f t="shared" si="7"/>
        <v>158917.6</v>
      </c>
      <c r="O36" s="562">
        <v>28058.799999999999</v>
      </c>
      <c r="P36" s="562">
        <v>85749.3</v>
      </c>
      <c r="Q36" s="562">
        <v>113231.7</v>
      </c>
      <c r="R36" s="562">
        <v>1024653.9</v>
      </c>
      <c r="S36" s="562">
        <f t="shared" si="8"/>
        <v>1137885.6000000001</v>
      </c>
      <c r="T36" s="562">
        <f t="shared" si="9"/>
        <v>1223634.9000000001</v>
      </c>
      <c r="U36" s="562">
        <v>746.7</v>
      </c>
      <c r="V36" s="562">
        <v>249201.60000000003</v>
      </c>
      <c r="W36" s="562">
        <f t="shared" si="32"/>
        <v>272896</v>
      </c>
      <c r="X36" s="562">
        <f t="shared" si="33"/>
        <v>1297549.8999999999</v>
      </c>
      <c r="Y36" s="562">
        <v>1621808.5</v>
      </c>
      <c r="Z36" s="376" t="s">
        <v>746</v>
      </c>
      <c r="AA36" s="361">
        <v>0</v>
      </c>
      <c r="AB36" s="562">
        <v>27745.599999999999</v>
      </c>
      <c r="AC36" s="562">
        <v>1002124.1</v>
      </c>
      <c r="AD36" s="562">
        <f t="shared" si="12"/>
        <v>1029869.7</v>
      </c>
      <c r="AE36" s="361">
        <v>0</v>
      </c>
      <c r="AF36" s="562">
        <v>1805.5</v>
      </c>
      <c r="AG36" s="562">
        <v>26869.7</v>
      </c>
      <c r="AH36" s="562">
        <f t="shared" si="13"/>
        <v>28675.200000000001</v>
      </c>
      <c r="AI36" s="566">
        <v>26023.599999999999</v>
      </c>
      <c r="AJ36" s="566">
        <v>218662</v>
      </c>
      <c r="AK36" s="566">
        <v>18633.2</v>
      </c>
      <c r="AL36" s="566">
        <f t="shared" si="14"/>
        <v>237295.2</v>
      </c>
      <c r="AM36" s="566">
        <f t="shared" si="34"/>
        <v>26023.599999999999</v>
      </c>
      <c r="AN36" s="566">
        <f t="shared" si="34"/>
        <v>248213.1</v>
      </c>
      <c r="AO36" s="566">
        <f t="shared" si="34"/>
        <v>1047626.9999999999</v>
      </c>
      <c r="AP36" s="566">
        <f t="shared" si="34"/>
        <v>1295840.0999999999</v>
      </c>
      <c r="AQ36" s="376" t="s">
        <v>746</v>
      </c>
      <c r="AR36" s="562">
        <v>6699.5</v>
      </c>
      <c r="AS36" s="562">
        <v>40822.699999999997</v>
      </c>
      <c r="AT36" s="562">
        <v>32058.1</v>
      </c>
      <c r="AU36" s="562">
        <v>239.5</v>
      </c>
      <c r="AV36" s="562">
        <f>1223684.5-26.88</f>
        <v>1223657.6200000001</v>
      </c>
      <c r="AW36" s="562">
        <v>9184.2999999999993</v>
      </c>
      <c r="AX36" s="562">
        <f t="shared" si="16"/>
        <v>1232841.9200000002</v>
      </c>
      <c r="AY36" s="562">
        <f>0.055*AX34</f>
        <v>66557.107099999994</v>
      </c>
      <c r="AZ36" s="562">
        <f t="shared" si="35"/>
        <v>8543.7095000000118</v>
      </c>
      <c r="BA36" s="360">
        <f>75102.6-1.7834</f>
        <v>75100.816600000006</v>
      </c>
      <c r="BB36" s="562">
        <v>3140304.6</v>
      </c>
      <c r="BC36" s="562">
        <f t="shared" si="36"/>
        <v>248453.11660000001</v>
      </c>
      <c r="BD36" s="562">
        <v>6000</v>
      </c>
      <c r="BE36" s="562">
        <v>35016.300000000003</v>
      </c>
      <c r="BF36" s="562">
        <v>5916.5</v>
      </c>
      <c r="BG36" s="562">
        <v>215122.5</v>
      </c>
      <c r="BH36" s="562">
        <f t="shared" si="19"/>
        <v>262055.3</v>
      </c>
      <c r="BI36" s="376" t="s">
        <v>746</v>
      </c>
      <c r="BJ36" s="367">
        <v>44.12</v>
      </c>
      <c r="BK36" s="367">
        <v>27.35</v>
      </c>
      <c r="BL36" s="367">
        <v>4.18</v>
      </c>
      <c r="BM36" s="367">
        <v>8.6</v>
      </c>
      <c r="BN36" s="367">
        <v>6.39</v>
      </c>
      <c r="BO36" s="367" t="s">
        <v>430</v>
      </c>
      <c r="BP36" s="367" t="s">
        <v>430</v>
      </c>
      <c r="BQ36" s="368" t="s">
        <v>430</v>
      </c>
      <c r="BR36" s="368">
        <v>10580</v>
      </c>
      <c r="BS36" s="368">
        <v>3773</v>
      </c>
      <c r="BT36" s="367">
        <f t="shared" si="20"/>
        <v>105.89891149454043</v>
      </c>
      <c r="BU36" s="367">
        <f t="shared" si="37"/>
        <v>115.65762003780719</v>
      </c>
      <c r="BV36" s="367">
        <f t="shared" si="38"/>
        <v>122.48016068052928</v>
      </c>
      <c r="BW36" s="367">
        <f t="shared" si="39"/>
        <v>7.317039924942403</v>
      </c>
      <c r="BX36" s="367">
        <v>5</v>
      </c>
      <c r="BY36" s="367">
        <v>5.69</v>
      </c>
      <c r="BZ36" s="367">
        <v>9.66</v>
      </c>
      <c r="CA36" s="367">
        <f t="shared" si="24"/>
        <v>3.9699999999999998</v>
      </c>
      <c r="CB36" s="367">
        <v>10.5</v>
      </c>
      <c r="CC36" s="367">
        <v>12.95</v>
      </c>
      <c r="CD36" s="367">
        <f t="shared" si="25"/>
        <v>2.4499999999999993</v>
      </c>
    </row>
    <row r="37" spans="1:85" s="213" customFormat="1" ht="10.5" customHeight="1">
      <c r="A37" s="211"/>
      <c r="B37" s="211"/>
      <c r="C37" s="211"/>
      <c r="D37" s="211"/>
      <c r="E37" s="211"/>
      <c r="F37" s="211"/>
      <c r="G37" s="211"/>
      <c r="H37" s="211"/>
      <c r="I37" s="211" t="s">
        <v>747</v>
      </c>
      <c r="J37" s="568">
        <v>173683.4</v>
      </c>
      <c r="K37" s="568">
        <v>1539.2</v>
      </c>
      <c r="L37" s="568">
        <f t="shared" si="6"/>
        <v>175222.6</v>
      </c>
      <c r="M37" s="568">
        <v>13402.1</v>
      </c>
      <c r="N37" s="568">
        <f t="shared" si="7"/>
        <v>161820.5</v>
      </c>
      <c r="O37" s="568">
        <v>28443.7</v>
      </c>
      <c r="P37" s="568">
        <v>84683.1</v>
      </c>
      <c r="Q37" s="568">
        <v>114733.7</v>
      </c>
      <c r="R37" s="568">
        <v>1029163</v>
      </c>
      <c r="S37" s="568">
        <f t="shared" si="8"/>
        <v>1143896.7</v>
      </c>
      <c r="T37" s="568">
        <f t="shared" si="9"/>
        <v>1228579.8</v>
      </c>
      <c r="U37" s="568">
        <v>779.5</v>
      </c>
      <c r="V37" s="568">
        <v>250988.6</v>
      </c>
      <c r="W37" s="568">
        <f t="shared" si="32"/>
        <v>277333.7</v>
      </c>
      <c r="X37" s="568">
        <f t="shared" si="33"/>
        <v>1306496.7</v>
      </c>
      <c r="Y37" s="568">
        <v>1633238.9</v>
      </c>
      <c r="Z37" s="211" t="s">
        <v>747</v>
      </c>
      <c r="AA37" s="294">
        <v>0</v>
      </c>
      <c r="AB37" s="568">
        <v>27501.5</v>
      </c>
      <c r="AC37" s="568">
        <v>1008690</v>
      </c>
      <c r="AD37" s="568">
        <f t="shared" si="12"/>
        <v>1036191.5</v>
      </c>
      <c r="AE37" s="294">
        <v>0</v>
      </c>
      <c r="AF37" s="568">
        <v>1850</v>
      </c>
      <c r="AG37" s="568">
        <v>26493.200000000001</v>
      </c>
      <c r="AH37" s="568">
        <f t="shared" si="13"/>
        <v>28343.200000000001</v>
      </c>
      <c r="AI37" s="586">
        <v>25780.6</v>
      </c>
      <c r="AJ37" s="586">
        <v>223801.3</v>
      </c>
      <c r="AK37" s="586">
        <v>18836.7</v>
      </c>
      <c r="AL37" s="586">
        <f t="shared" si="14"/>
        <v>242638</v>
      </c>
      <c r="AM37" s="586">
        <f t="shared" si="34"/>
        <v>25780.6</v>
      </c>
      <c r="AN37" s="586">
        <f t="shared" si="34"/>
        <v>253152.8</v>
      </c>
      <c r="AO37" s="586">
        <f t="shared" si="34"/>
        <v>1054019.8999999999</v>
      </c>
      <c r="AP37" s="586">
        <f t="shared" si="34"/>
        <v>1307172.7</v>
      </c>
      <c r="AQ37" s="211" t="s">
        <v>747</v>
      </c>
      <c r="AR37" s="568">
        <v>6998</v>
      </c>
      <c r="AS37" s="568">
        <v>47017</v>
      </c>
      <c r="AT37" s="568">
        <v>30518.1</v>
      </c>
      <c r="AU37" s="568">
        <v>10.7</v>
      </c>
      <c r="AV37" s="568">
        <f>1228629.4-27</f>
        <v>1228602.3999999999</v>
      </c>
      <c r="AW37" s="568">
        <v>8812.7999999999993</v>
      </c>
      <c r="AX37" s="568">
        <f t="shared" si="16"/>
        <v>1237415.2</v>
      </c>
      <c r="AY37" s="568">
        <f t="shared" ref="AY37" si="40">0.055*AX35</f>
        <v>67689.857399999994</v>
      </c>
      <c r="AZ37" s="568">
        <f t="shared" si="35"/>
        <v>7294.8205000000016</v>
      </c>
      <c r="BA37" s="293">
        <f>74986.5-1.8221</f>
        <v>74984.677899999995</v>
      </c>
      <c r="BB37" s="568">
        <v>3180075.6</v>
      </c>
      <c r="BC37" s="568">
        <f t="shared" si="36"/>
        <v>250207.27789999999</v>
      </c>
      <c r="BD37" s="568">
        <v>4505</v>
      </c>
      <c r="BE37" s="568">
        <v>29919.200000000001</v>
      </c>
      <c r="BF37" s="568">
        <v>5532.6</v>
      </c>
      <c r="BG37" s="568">
        <v>220161.5</v>
      </c>
      <c r="BH37" s="568">
        <f t="shared" si="19"/>
        <v>260118.30000000002</v>
      </c>
      <c r="BI37" s="211" t="s">
        <v>747</v>
      </c>
      <c r="BJ37" s="325">
        <v>43.23</v>
      </c>
      <c r="BK37" s="325">
        <v>28.59</v>
      </c>
      <c r="BL37" s="325">
        <v>4.8099999999999996</v>
      </c>
      <c r="BM37" s="325">
        <v>9.09</v>
      </c>
      <c r="BN37" s="325">
        <v>7.12</v>
      </c>
      <c r="BO37" s="325" t="s">
        <v>430</v>
      </c>
      <c r="BP37" s="325" t="s">
        <v>430</v>
      </c>
      <c r="BQ37" s="325" t="s">
        <v>430</v>
      </c>
      <c r="BR37" s="477">
        <v>10583</v>
      </c>
      <c r="BS37" s="477">
        <v>3774</v>
      </c>
      <c r="BT37" s="325">
        <f t="shared" si="20"/>
        <v>106.39509576084177</v>
      </c>
      <c r="BU37" s="325">
        <f t="shared" si="37"/>
        <v>116.09207219125011</v>
      </c>
      <c r="BV37" s="325">
        <f t="shared" si="38"/>
        <v>123.5162713786261</v>
      </c>
      <c r="BW37" s="325">
        <f t="shared" si="39"/>
        <v>7.1940912617458679</v>
      </c>
      <c r="BX37" s="325">
        <v>5</v>
      </c>
      <c r="BY37" s="325">
        <v>5.53</v>
      </c>
      <c r="BZ37" s="325">
        <v>9.6199999999999992</v>
      </c>
      <c r="CA37" s="325">
        <f t="shared" si="24"/>
        <v>4.089999999999999</v>
      </c>
      <c r="CB37" s="325">
        <v>10.42</v>
      </c>
      <c r="CC37" s="325">
        <v>12.98</v>
      </c>
      <c r="CD37" s="325">
        <f t="shared" si="25"/>
        <v>2.5600000000000005</v>
      </c>
    </row>
    <row r="38" spans="1:85" s="213" customFormat="1" ht="10.5" customHeight="1">
      <c r="A38" s="211"/>
      <c r="B38" s="211"/>
      <c r="C38" s="211"/>
      <c r="D38" s="211"/>
      <c r="E38" s="211"/>
      <c r="F38" s="211"/>
      <c r="G38" s="211"/>
      <c r="H38" s="211"/>
      <c r="I38" s="376" t="s">
        <v>739</v>
      </c>
      <c r="J38" s="562">
        <v>190365.7</v>
      </c>
      <c r="K38" s="562">
        <v>1541.1</v>
      </c>
      <c r="L38" s="562">
        <f t="shared" si="6"/>
        <v>191906.80000000002</v>
      </c>
      <c r="M38" s="562">
        <v>18559.2</v>
      </c>
      <c r="N38" s="562">
        <f t="shared" si="7"/>
        <v>173347.6</v>
      </c>
      <c r="O38" s="562">
        <v>27834.9</v>
      </c>
      <c r="P38" s="562">
        <v>84642.7</v>
      </c>
      <c r="Q38" s="562">
        <v>116703.6</v>
      </c>
      <c r="R38" s="562">
        <v>1019713.5</v>
      </c>
      <c r="S38" s="562">
        <f t="shared" si="8"/>
        <v>1136417.1000000001</v>
      </c>
      <c r="T38" s="562">
        <f t="shared" si="9"/>
        <v>1221059.8</v>
      </c>
      <c r="U38" s="562">
        <v>903.8</v>
      </c>
      <c r="V38" s="562">
        <v>272917.5</v>
      </c>
      <c r="W38" s="562">
        <f t="shared" si="32"/>
        <v>290955</v>
      </c>
      <c r="X38" s="562">
        <f t="shared" si="33"/>
        <v>1310668.5</v>
      </c>
      <c r="Y38" s="562">
        <v>1639528.2000000002</v>
      </c>
      <c r="Z38" s="376" t="s">
        <v>739</v>
      </c>
      <c r="AA38" s="361">
        <v>0</v>
      </c>
      <c r="AB38" s="562">
        <v>27302.9</v>
      </c>
      <c r="AC38" s="562">
        <v>1019364</v>
      </c>
      <c r="AD38" s="562">
        <f t="shared" si="12"/>
        <v>1046666.9</v>
      </c>
      <c r="AE38" s="361">
        <v>0</v>
      </c>
      <c r="AF38" s="562">
        <v>1880.3</v>
      </c>
      <c r="AG38" s="562">
        <v>23483</v>
      </c>
      <c r="AH38" s="562">
        <f t="shared" si="13"/>
        <v>25363.3</v>
      </c>
      <c r="AI38" s="566">
        <v>25871.7</v>
      </c>
      <c r="AJ38" s="566">
        <v>201036.1</v>
      </c>
      <c r="AK38" s="566">
        <v>18739.5</v>
      </c>
      <c r="AL38" s="566">
        <f t="shared" si="14"/>
        <v>219775.6</v>
      </c>
      <c r="AM38" s="566">
        <f t="shared" si="34"/>
        <v>25871.7</v>
      </c>
      <c r="AN38" s="566">
        <f t="shared" si="34"/>
        <v>230219.30000000002</v>
      </c>
      <c r="AO38" s="566">
        <f t="shared" si="34"/>
        <v>1061586.5</v>
      </c>
      <c r="AP38" s="566">
        <f t="shared" si="34"/>
        <v>1291805.8</v>
      </c>
      <c r="AQ38" s="376" t="s">
        <v>739</v>
      </c>
      <c r="AR38" s="562">
        <v>8339.6</v>
      </c>
      <c r="AS38" s="562">
        <v>42963</v>
      </c>
      <c r="AT38" s="562">
        <v>29914.9</v>
      </c>
      <c r="AU38" s="562">
        <v>49.5</v>
      </c>
      <c r="AV38" s="562">
        <f>1221109.4-27.43</f>
        <v>1221081.97</v>
      </c>
      <c r="AW38" s="562">
        <v>9785</v>
      </c>
      <c r="AX38" s="562">
        <f t="shared" si="16"/>
        <v>1230866.97</v>
      </c>
      <c r="AY38" s="562">
        <f>0.055*AX36</f>
        <v>67806.305600000007</v>
      </c>
      <c r="AZ38" s="562">
        <f t="shared" si="35"/>
        <v>12297.558999999994</v>
      </c>
      <c r="BA38" s="360">
        <f>80106.9-3.0354</f>
        <v>80103.864600000001</v>
      </c>
      <c r="BB38" s="562">
        <v>3198820</v>
      </c>
      <c r="BC38" s="562">
        <f t="shared" si="36"/>
        <v>272010.66460000002</v>
      </c>
      <c r="BD38" s="562">
        <v>0</v>
      </c>
      <c r="BE38" s="562">
        <v>29879.3</v>
      </c>
      <c r="BF38" s="562">
        <v>5262.3</v>
      </c>
      <c r="BG38" s="562">
        <v>197393.2</v>
      </c>
      <c r="BH38" s="562">
        <f t="shared" si="19"/>
        <v>232534.8</v>
      </c>
      <c r="BI38" s="376" t="s">
        <v>739</v>
      </c>
      <c r="BJ38" s="367">
        <v>18.09</v>
      </c>
      <c r="BK38" s="367">
        <v>29.05</v>
      </c>
      <c r="BL38" s="367">
        <v>5.58</v>
      </c>
      <c r="BM38" s="367">
        <v>7.29</v>
      </c>
      <c r="BN38" s="367">
        <v>7.47</v>
      </c>
      <c r="BO38" s="367" t="s">
        <v>430</v>
      </c>
      <c r="BP38" s="367" t="s">
        <v>430</v>
      </c>
      <c r="BQ38" s="367" t="s">
        <v>430</v>
      </c>
      <c r="BR38" s="368">
        <v>10583</v>
      </c>
      <c r="BS38" s="368">
        <v>3774</v>
      </c>
      <c r="BT38" s="367">
        <f>AP38/AV38*100</f>
        <v>105.79189863887682</v>
      </c>
      <c r="BU38" s="367">
        <f t="shared" si="37"/>
        <v>115.38145799867712</v>
      </c>
      <c r="BV38" s="367">
        <f t="shared" si="38"/>
        <v>122.06423509401871</v>
      </c>
      <c r="BW38" s="367">
        <f t="shared" si="39"/>
        <v>8.079970634567637</v>
      </c>
      <c r="BX38" s="367">
        <v>5</v>
      </c>
      <c r="BY38" s="367">
        <v>5.51</v>
      </c>
      <c r="BZ38" s="367">
        <v>9.58</v>
      </c>
      <c r="CA38" s="367">
        <f t="shared" si="24"/>
        <v>4.07</v>
      </c>
      <c r="CB38" s="367">
        <v>10.24</v>
      </c>
      <c r="CC38" s="367">
        <v>13.06</v>
      </c>
      <c r="CD38" s="367">
        <f t="shared" si="25"/>
        <v>2.8200000000000003</v>
      </c>
    </row>
    <row r="39" spans="1:85" s="213" customFormat="1" ht="10.5" customHeight="1">
      <c r="A39" s="211"/>
      <c r="B39" s="211"/>
      <c r="C39" s="211"/>
      <c r="D39" s="211"/>
      <c r="E39" s="211"/>
      <c r="F39" s="211"/>
      <c r="G39" s="211"/>
      <c r="H39" s="211"/>
      <c r="I39" s="211" t="s">
        <v>748</v>
      </c>
      <c r="J39" s="568">
        <v>192164.7</v>
      </c>
      <c r="K39" s="568">
        <v>1541.8</v>
      </c>
      <c r="L39" s="568">
        <f t="shared" si="6"/>
        <v>193706.5</v>
      </c>
      <c r="M39" s="568">
        <v>16085</v>
      </c>
      <c r="N39" s="568">
        <f t="shared" si="7"/>
        <v>177621.5</v>
      </c>
      <c r="O39" s="568">
        <v>26349</v>
      </c>
      <c r="P39" s="568">
        <v>84759.9</v>
      </c>
      <c r="Q39" s="568">
        <v>118501.6</v>
      </c>
      <c r="R39" s="568">
        <v>1029044.7</v>
      </c>
      <c r="S39" s="568">
        <f t="shared" si="8"/>
        <v>1147546.3</v>
      </c>
      <c r="T39" s="568">
        <f t="shared" si="9"/>
        <v>1232306.2</v>
      </c>
      <c r="U39" s="568">
        <v>897.7</v>
      </c>
      <c r="V39" s="568">
        <v>256332</v>
      </c>
      <c r="W39" s="568">
        <f t="shared" si="32"/>
        <v>297020.79999999999</v>
      </c>
      <c r="X39" s="568">
        <f t="shared" si="33"/>
        <v>1326065.5</v>
      </c>
      <c r="Y39" s="568">
        <v>1654085.7999999998</v>
      </c>
      <c r="Z39" s="211" t="s">
        <v>748</v>
      </c>
      <c r="AA39" s="294">
        <v>0</v>
      </c>
      <c r="AB39" s="568">
        <v>27150.5</v>
      </c>
      <c r="AC39" s="568">
        <v>1027307.2</v>
      </c>
      <c r="AD39" s="568">
        <f t="shared" si="12"/>
        <v>1054457.7</v>
      </c>
      <c r="AE39" s="294">
        <v>0</v>
      </c>
      <c r="AF39" s="568">
        <v>1913.4</v>
      </c>
      <c r="AG39" s="568">
        <v>23997.5</v>
      </c>
      <c r="AH39" s="568">
        <f t="shared" si="13"/>
        <v>25910.9</v>
      </c>
      <c r="AI39" s="586">
        <v>25783.7</v>
      </c>
      <c r="AJ39" s="586">
        <v>223070.8</v>
      </c>
      <c r="AK39" s="586">
        <v>18849.400000000001</v>
      </c>
      <c r="AL39" s="586">
        <f t="shared" si="14"/>
        <v>241920.19999999998</v>
      </c>
      <c r="AM39" s="586">
        <f t="shared" si="34"/>
        <v>25783.7</v>
      </c>
      <c r="AN39" s="586">
        <f t="shared" si="34"/>
        <v>252134.69999999998</v>
      </c>
      <c r="AO39" s="586">
        <f t="shared" si="34"/>
        <v>1070154.0999999999</v>
      </c>
      <c r="AP39" s="586">
        <f t="shared" si="34"/>
        <v>1322288.7999999998</v>
      </c>
      <c r="AQ39" s="211" t="s">
        <v>748</v>
      </c>
      <c r="AR39" s="568">
        <v>8632.5</v>
      </c>
      <c r="AS39" s="568">
        <v>43053.8</v>
      </c>
      <c r="AT39" s="568">
        <v>37213</v>
      </c>
      <c r="AU39" s="568">
        <v>23.9</v>
      </c>
      <c r="AV39" s="568">
        <f>1232355.8-27.35</f>
        <v>1232328.45</v>
      </c>
      <c r="AW39" s="568">
        <v>10004.299999999999</v>
      </c>
      <c r="AX39" s="568">
        <f t="shared" si="16"/>
        <v>1242332.75</v>
      </c>
      <c r="AY39" s="568">
        <f>0.04*AX37</f>
        <v>49496.608</v>
      </c>
      <c r="AZ39" s="568">
        <f t="shared" si="35"/>
        <v>12227.6682</v>
      </c>
      <c r="BA39" s="293">
        <f>61727.8-3.5238</f>
        <v>61724.2762</v>
      </c>
      <c r="BB39" s="568">
        <v>3230542.5</v>
      </c>
      <c r="BC39" s="568">
        <f t="shared" si="36"/>
        <v>255430.77619999999</v>
      </c>
      <c r="BD39" s="568">
        <v>6000</v>
      </c>
      <c r="BE39" s="568">
        <v>34419.4</v>
      </c>
      <c r="BF39" s="568">
        <v>5365.1</v>
      </c>
      <c r="BG39" s="568">
        <v>219427.9</v>
      </c>
      <c r="BH39" s="568">
        <f t="shared" si="19"/>
        <v>265212.40000000002</v>
      </c>
      <c r="BI39" s="211" t="s">
        <v>748</v>
      </c>
      <c r="BJ39" s="325">
        <v>48.65</v>
      </c>
      <c r="BK39" s="325">
        <v>28.1</v>
      </c>
      <c r="BL39" s="325">
        <v>6.43</v>
      </c>
      <c r="BM39" s="325">
        <v>11.04</v>
      </c>
      <c r="BN39" s="325">
        <v>8.73</v>
      </c>
      <c r="BO39" s="325" t="s">
        <v>430</v>
      </c>
      <c r="BP39" s="325" t="s">
        <v>430</v>
      </c>
      <c r="BQ39" s="325" t="s">
        <v>430</v>
      </c>
      <c r="BR39" s="477">
        <v>10583</v>
      </c>
      <c r="BS39" s="477">
        <v>3774</v>
      </c>
      <c r="BT39" s="325">
        <f t="shared" si="20"/>
        <v>107.30003028007671</v>
      </c>
      <c r="BU39" s="325">
        <f t="shared" si="37"/>
        <v>116.44415099688179</v>
      </c>
      <c r="BV39" s="325">
        <f t="shared" si="38"/>
        <v>124.94460927903239</v>
      </c>
      <c r="BW39" s="325">
        <f t="shared" si="39"/>
        <v>6.3140046957448721</v>
      </c>
      <c r="BX39" s="325">
        <v>5</v>
      </c>
      <c r="BY39" s="325">
        <v>5.37</v>
      </c>
      <c r="BZ39" s="325">
        <v>8.2899999999999991</v>
      </c>
      <c r="CA39" s="325">
        <f t="shared" si="24"/>
        <v>2.919999999999999</v>
      </c>
      <c r="CB39" s="325">
        <v>10.039999999999999</v>
      </c>
      <c r="CC39" s="325">
        <v>13.02</v>
      </c>
      <c r="CD39" s="325">
        <f t="shared" si="25"/>
        <v>2.9800000000000004</v>
      </c>
    </row>
    <row r="40" spans="1:85" s="213" customFormat="1" ht="10.5" customHeight="1">
      <c r="A40" s="211"/>
      <c r="B40" s="211"/>
      <c r="C40" s="211"/>
      <c r="D40" s="211"/>
      <c r="E40" s="211"/>
      <c r="F40" s="211"/>
      <c r="G40" s="1194"/>
      <c r="H40" s="1194"/>
      <c r="I40" s="376" t="s">
        <v>749</v>
      </c>
      <c r="J40" s="562">
        <v>209565.8</v>
      </c>
      <c r="K40" s="562">
        <v>1541.8</v>
      </c>
      <c r="L40" s="562">
        <f t="shared" si="6"/>
        <v>211107.59999999998</v>
      </c>
      <c r="M40" s="562">
        <v>17356.900000000001</v>
      </c>
      <c r="N40" s="562">
        <f t="shared" si="7"/>
        <v>193750.69999999998</v>
      </c>
      <c r="O40" s="562">
        <v>26361.7</v>
      </c>
      <c r="P40" s="562">
        <v>86366.399999999994</v>
      </c>
      <c r="Q40" s="562">
        <v>122236.9</v>
      </c>
      <c r="R40" s="562">
        <v>1034858.6</v>
      </c>
      <c r="S40" s="562">
        <f t="shared" si="8"/>
        <v>1157095.5</v>
      </c>
      <c r="T40" s="562">
        <f t="shared" si="9"/>
        <v>1243461.8999999999</v>
      </c>
      <c r="U40" s="562">
        <v>784.8</v>
      </c>
      <c r="V40" s="562">
        <v>270238.5</v>
      </c>
      <c r="W40" s="562">
        <f t="shared" si="32"/>
        <v>316772.39999999997</v>
      </c>
      <c r="X40" s="562">
        <f t="shared" si="33"/>
        <v>1351631</v>
      </c>
      <c r="Y40" s="562">
        <v>1680062.3999999997</v>
      </c>
      <c r="Z40" s="376" t="s">
        <v>749</v>
      </c>
      <c r="AA40" s="361">
        <v>0</v>
      </c>
      <c r="AB40" s="562">
        <v>26798.7</v>
      </c>
      <c r="AC40" s="562">
        <v>1041583.8</v>
      </c>
      <c r="AD40" s="562">
        <f t="shared" si="12"/>
        <v>1068382.5</v>
      </c>
      <c r="AE40" s="361">
        <v>0</v>
      </c>
      <c r="AF40" s="562">
        <v>2044.6</v>
      </c>
      <c r="AG40" s="562">
        <v>23897.200000000001</v>
      </c>
      <c r="AH40" s="562">
        <f t="shared" si="13"/>
        <v>25941.8</v>
      </c>
      <c r="AI40" s="566">
        <v>25561.599999999999</v>
      </c>
      <c r="AJ40" s="566">
        <v>221968</v>
      </c>
      <c r="AK40" s="566">
        <v>18805</v>
      </c>
      <c r="AL40" s="566">
        <f t="shared" si="14"/>
        <v>240773</v>
      </c>
      <c r="AM40" s="566">
        <f t="shared" si="34"/>
        <v>25561.599999999999</v>
      </c>
      <c r="AN40" s="566">
        <f t="shared" si="34"/>
        <v>250811.3</v>
      </c>
      <c r="AO40" s="566">
        <f t="shared" si="34"/>
        <v>1084286</v>
      </c>
      <c r="AP40" s="566">
        <f t="shared" si="34"/>
        <v>1335097.3</v>
      </c>
      <c r="AQ40" s="376" t="s">
        <v>749</v>
      </c>
      <c r="AR40" s="562">
        <v>11029.1</v>
      </c>
      <c r="AS40" s="562">
        <v>45448.1</v>
      </c>
      <c r="AT40" s="562">
        <v>33869.599999999999</v>
      </c>
      <c r="AU40" s="562">
        <v>57.6</v>
      </c>
      <c r="AV40" s="562">
        <f>1243511.7-28.16</f>
        <v>1243483.54</v>
      </c>
      <c r="AW40" s="562">
        <v>10604.8</v>
      </c>
      <c r="AX40" s="562">
        <f t="shared" si="16"/>
        <v>1254088.3400000001</v>
      </c>
      <c r="AY40" s="562">
        <f>0.04*AX38</f>
        <v>49234.678800000002</v>
      </c>
      <c r="AZ40" s="562">
        <f t="shared" si="35"/>
        <v>9108.4599999999991</v>
      </c>
      <c r="BA40" s="360">
        <f>58346.1-2.9612</f>
        <v>58343.138800000001</v>
      </c>
      <c r="BB40" s="562">
        <v>3258358.1</v>
      </c>
      <c r="BC40" s="562">
        <f t="shared" si="36"/>
        <v>269450.73879999999</v>
      </c>
      <c r="BD40" s="562">
        <v>2525.1</v>
      </c>
      <c r="BE40" s="562">
        <v>34308.5</v>
      </c>
      <c r="BF40" s="562">
        <v>5200.3999999999996</v>
      </c>
      <c r="BG40" s="562">
        <v>218325.5</v>
      </c>
      <c r="BH40" s="562">
        <f t="shared" si="19"/>
        <v>260359.5</v>
      </c>
      <c r="BI40" s="376" t="s">
        <v>749</v>
      </c>
      <c r="BJ40" s="367">
        <v>43.47</v>
      </c>
      <c r="BK40" s="367">
        <v>27.81</v>
      </c>
      <c r="BL40" s="367">
        <v>7.85</v>
      </c>
      <c r="BM40" s="367">
        <v>11.77</v>
      </c>
      <c r="BN40" s="367">
        <v>10.82</v>
      </c>
      <c r="BO40" s="367" t="s">
        <v>430</v>
      </c>
      <c r="BP40" s="367" t="s">
        <v>430</v>
      </c>
      <c r="BQ40" s="367" t="s">
        <v>430</v>
      </c>
      <c r="BR40" s="368">
        <v>10583</v>
      </c>
      <c r="BS40" s="368">
        <v>3774</v>
      </c>
      <c r="BT40" s="367">
        <f t="shared" si="20"/>
        <v>107.36750886143615</v>
      </c>
      <c r="BU40" s="367">
        <f t="shared" si="37"/>
        <v>117.49820844751017</v>
      </c>
      <c r="BV40" s="367">
        <f t="shared" si="38"/>
        <v>126.15489936690919</v>
      </c>
      <c r="BW40" s="367">
        <f t="shared" si="39"/>
        <v>6.0877395128205727</v>
      </c>
      <c r="BX40" s="367">
        <v>5</v>
      </c>
      <c r="BY40" s="367">
        <v>5.24</v>
      </c>
      <c r="BZ40" s="367">
        <v>8.18</v>
      </c>
      <c r="CA40" s="367">
        <f t="shared" si="24"/>
        <v>2.9399999999999995</v>
      </c>
      <c r="CB40" s="367">
        <v>9.9</v>
      </c>
      <c r="CC40" s="367">
        <v>13.04</v>
      </c>
      <c r="CD40" s="367">
        <f t="shared" si="25"/>
        <v>3.1399999999999988</v>
      </c>
    </row>
    <row r="41" spans="1:85" s="213" customFormat="1" ht="10.5" customHeight="1">
      <c r="A41" s="211"/>
      <c r="B41" s="211"/>
      <c r="C41" s="211"/>
      <c r="D41" s="211"/>
      <c r="E41" s="211"/>
      <c r="F41" s="211"/>
      <c r="G41" s="1194"/>
      <c r="H41" s="1194"/>
      <c r="I41" s="211" t="s">
        <v>740</v>
      </c>
      <c r="J41" s="568">
        <v>206552.2</v>
      </c>
      <c r="K41" s="568">
        <v>1541.9</v>
      </c>
      <c r="L41" s="568">
        <f t="shared" si="6"/>
        <v>208094.1</v>
      </c>
      <c r="M41" s="568">
        <v>15979.6</v>
      </c>
      <c r="N41" s="568">
        <f t="shared" si="7"/>
        <v>192114.5</v>
      </c>
      <c r="O41" s="568">
        <v>30355.7</v>
      </c>
      <c r="P41" s="568">
        <v>88099.4</v>
      </c>
      <c r="Q41" s="568">
        <v>135528.4</v>
      </c>
      <c r="R41" s="568">
        <v>1045471.1</v>
      </c>
      <c r="S41" s="568">
        <f t="shared" si="8"/>
        <v>1180999.5</v>
      </c>
      <c r="T41" s="568">
        <f t="shared" si="9"/>
        <v>1269098.8999999999</v>
      </c>
      <c r="U41" s="568">
        <v>621</v>
      </c>
      <c r="V41" s="568">
        <v>284483.40000000002</v>
      </c>
      <c r="W41" s="568">
        <f t="shared" si="32"/>
        <v>328263.90000000002</v>
      </c>
      <c r="X41" s="568">
        <f t="shared" si="33"/>
        <v>1373735</v>
      </c>
      <c r="Y41" s="568">
        <v>1703937.4</v>
      </c>
      <c r="Z41" s="211" t="s">
        <v>740</v>
      </c>
      <c r="AA41" s="294">
        <v>0</v>
      </c>
      <c r="AB41" s="568">
        <v>25708.3</v>
      </c>
      <c r="AC41" s="568">
        <v>1050976</v>
      </c>
      <c r="AD41" s="568">
        <f t="shared" si="12"/>
        <v>1076684.3</v>
      </c>
      <c r="AE41" s="294">
        <v>0</v>
      </c>
      <c r="AF41" s="568">
        <v>1921.3</v>
      </c>
      <c r="AG41" s="568">
        <v>22033.3</v>
      </c>
      <c r="AH41" s="568">
        <f t="shared" si="13"/>
        <v>23954.6</v>
      </c>
      <c r="AI41" s="586">
        <v>25407.3</v>
      </c>
      <c r="AJ41" s="586">
        <v>232935.5</v>
      </c>
      <c r="AK41" s="586">
        <v>18916</v>
      </c>
      <c r="AL41" s="586">
        <f t="shared" si="14"/>
        <v>251851.5</v>
      </c>
      <c r="AM41" s="586">
        <f t="shared" si="34"/>
        <v>25407.3</v>
      </c>
      <c r="AN41" s="586">
        <f t="shared" si="34"/>
        <v>260565.1</v>
      </c>
      <c r="AO41" s="586">
        <f t="shared" si="34"/>
        <v>1091925.3</v>
      </c>
      <c r="AP41" s="586">
        <f t="shared" si="34"/>
        <v>1352490.4000000001</v>
      </c>
      <c r="AQ41" s="211" t="s">
        <v>740</v>
      </c>
      <c r="AR41" s="568">
        <v>13614.7</v>
      </c>
      <c r="AS41" s="568">
        <v>50299.7</v>
      </c>
      <c r="AT41" s="568">
        <v>35190.199999999997</v>
      </c>
      <c r="AU41" s="568">
        <v>58.5</v>
      </c>
      <c r="AV41" s="568">
        <f>1269148.9-35.26</f>
        <v>1269113.6399999999</v>
      </c>
      <c r="AW41" s="568">
        <v>10934.2</v>
      </c>
      <c r="AX41" s="568">
        <f t="shared" si="16"/>
        <v>1280047.8399999999</v>
      </c>
      <c r="AY41" s="568">
        <f>0.04*AX39</f>
        <v>49693.31</v>
      </c>
      <c r="AZ41" s="568">
        <f t="shared" si="35"/>
        <v>26071.655700000003</v>
      </c>
      <c r="BA41" s="293">
        <f>75768.3-3.3343</f>
        <v>75764.965700000001</v>
      </c>
      <c r="BB41" s="568">
        <v>3332696.5</v>
      </c>
      <c r="BC41" s="568">
        <f t="shared" si="36"/>
        <v>283859.06570000004</v>
      </c>
      <c r="BD41" s="568">
        <v>10631</v>
      </c>
      <c r="BE41" s="568">
        <v>36086.9</v>
      </c>
      <c r="BF41" s="568">
        <v>4710.3</v>
      </c>
      <c r="BG41" s="568">
        <v>229191.6</v>
      </c>
      <c r="BH41" s="568">
        <f t="shared" si="19"/>
        <v>280619.8</v>
      </c>
      <c r="BI41" s="211" t="s">
        <v>740</v>
      </c>
      <c r="BJ41" s="325">
        <v>55.51</v>
      </c>
      <c r="BK41" s="325">
        <v>25.09</v>
      </c>
      <c r="BL41" s="325">
        <v>8.61</v>
      </c>
      <c r="BM41" s="325">
        <v>13.58</v>
      </c>
      <c r="BN41" s="325">
        <v>12.64</v>
      </c>
      <c r="BO41" s="325" t="s">
        <v>430</v>
      </c>
      <c r="BP41" s="325" t="s">
        <v>430</v>
      </c>
      <c r="BQ41" s="325" t="s">
        <v>430</v>
      </c>
      <c r="BR41" s="477">
        <v>10588</v>
      </c>
      <c r="BS41" s="477">
        <v>3775</v>
      </c>
      <c r="BT41" s="325">
        <f>AP41/AV41*100</f>
        <v>106.56968433496627</v>
      </c>
      <c r="BU41" s="325">
        <f>AV41/BR41</f>
        <v>119.86339629769549</v>
      </c>
      <c r="BV41" s="325">
        <f t="shared" si="38"/>
        <v>127.73804306762374</v>
      </c>
      <c r="BW41" s="325">
        <f t="shared" si="39"/>
        <v>7.2290268427025977</v>
      </c>
      <c r="BX41" s="325">
        <v>5</v>
      </c>
      <c r="BY41" s="325">
        <v>5.0599999999999996</v>
      </c>
      <c r="BZ41" s="325">
        <v>7.95</v>
      </c>
      <c r="CA41" s="325">
        <f t="shared" si="24"/>
        <v>2.8900000000000006</v>
      </c>
      <c r="CB41" s="325">
        <v>9.7200000000000006</v>
      </c>
      <c r="CC41" s="325">
        <v>12.93</v>
      </c>
      <c r="CD41" s="325">
        <f t="shared" si="25"/>
        <v>3.2099999999999991</v>
      </c>
    </row>
    <row r="42" spans="1:85" s="213" customFormat="1" ht="10.5" customHeight="1">
      <c r="A42" s="211"/>
      <c r="B42" s="211"/>
      <c r="C42" s="211"/>
      <c r="D42" s="211"/>
      <c r="E42" s="211"/>
      <c r="F42" s="211"/>
      <c r="G42" s="1194"/>
      <c r="H42" s="1194"/>
      <c r="I42" s="378" t="s">
        <v>2114</v>
      </c>
      <c r="J42" s="562"/>
      <c r="K42" s="562"/>
      <c r="L42" s="562"/>
      <c r="M42" s="562"/>
      <c r="N42" s="562"/>
      <c r="O42" s="562"/>
      <c r="P42" s="562"/>
      <c r="Q42" s="562"/>
      <c r="R42" s="562"/>
      <c r="S42" s="562"/>
      <c r="T42" s="562"/>
      <c r="U42" s="562"/>
      <c r="V42" s="562"/>
      <c r="W42" s="562"/>
      <c r="X42" s="562"/>
      <c r="Y42" s="562"/>
      <c r="Z42" s="378" t="s">
        <v>2114</v>
      </c>
      <c r="AA42" s="361"/>
      <c r="AB42" s="562"/>
      <c r="AC42" s="562"/>
      <c r="AD42" s="562"/>
      <c r="AE42" s="361"/>
      <c r="AF42" s="562"/>
      <c r="AG42" s="562"/>
      <c r="AH42" s="562"/>
      <c r="AI42" s="566"/>
      <c r="AJ42" s="566"/>
      <c r="AK42" s="566"/>
      <c r="AL42" s="566"/>
      <c r="AM42" s="566"/>
      <c r="AN42" s="566"/>
      <c r="AO42" s="566"/>
      <c r="AP42" s="566"/>
      <c r="AQ42" s="378" t="s">
        <v>2114</v>
      </c>
      <c r="AR42" s="562"/>
      <c r="AS42" s="562"/>
      <c r="AT42" s="562"/>
      <c r="AU42" s="562"/>
      <c r="AV42" s="562"/>
      <c r="AW42" s="562"/>
      <c r="AX42" s="562"/>
      <c r="AY42" s="562"/>
      <c r="AZ42" s="562"/>
      <c r="BA42" s="360"/>
      <c r="BB42" s="562"/>
      <c r="BC42" s="562"/>
      <c r="BD42" s="562"/>
      <c r="BE42" s="562"/>
      <c r="BF42" s="562"/>
      <c r="BG42" s="562"/>
      <c r="BH42" s="562"/>
      <c r="BI42" s="378" t="s">
        <v>2114</v>
      </c>
      <c r="BJ42" s="367"/>
      <c r="BK42" s="367"/>
      <c r="BL42" s="367"/>
      <c r="BM42" s="367"/>
      <c r="BN42" s="367"/>
      <c r="BO42" s="367"/>
      <c r="BP42" s="367"/>
      <c r="BQ42" s="367"/>
      <c r="BR42" s="368"/>
      <c r="BS42" s="368"/>
      <c r="BT42" s="367"/>
      <c r="BU42" s="367"/>
      <c r="BV42" s="367"/>
      <c r="BW42" s="367"/>
      <c r="BX42" s="367"/>
      <c r="BY42" s="367"/>
      <c r="BZ42" s="367"/>
      <c r="CA42" s="367"/>
      <c r="CB42" s="367"/>
      <c r="CC42" s="367"/>
      <c r="CD42" s="367"/>
    </row>
    <row r="43" spans="1:85" s="213" customFormat="1" ht="10.5" customHeight="1">
      <c r="A43" s="211"/>
      <c r="B43" s="211"/>
      <c r="C43" s="211"/>
      <c r="D43" s="211"/>
      <c r="E43" s="211"/>
      <c r="F43" s="211"/>
      <c r="G43" s="1194"/>
      <c r="H43" s="1194"/>
      <c r="I43" s="184" t="s">
        <v>742</v>
      </c>
      <c r="J43" s="568">
        <v>223127.4</v>
      </c>
      <c r="K43" s="568">
        <v>1541.7</v>
      </c>
      <c r="L43" s="568">
        <f t="shared" si="6"/>
        <v>224669.1</v>
      </c>
      <c r="M43" s="568">
        <v>13685.3</v>
      </c>
      <c r="N43" s="568">
        <f t="shared" si="7"/>
        <v>210983.80000000002</v>
      </c>
      <c r="O43" s="568">
        <v>26794</v>
      </c>
      <c r="P43" s="568">
        <v>85424.8</v>
      </c>
      <c r="Q43" s="568">
        <v>128389</v>
      </c>
      <c r="R43" s="568">
        <v>1065004.1000000001</v>
      </c>
      <c r="S43" s="568">
        <f t="shared" si="8"/>
        <v>1193393.1000000001</v>
      </c>
      <c r="T43" s="568">
        <f t="shared" si="9"/>
        <v>1278817.9000000001</v>
      </c>
      <c r="U43" s="568">
        <v>501.3</v>
      </c>
      <c r="V43" s="568">
        <v>291913.3</v>
      </c>
      <c r="W43" s="568">
        <f t="shared" si="32"/>
        <v>339874.10000000003</v>
      </c>
      <c r="X43" s="568">
        <f t="shared" si="33"/>
        <v>1404878.2000000002</v>
      </c>
      <c r="Y43" s="568">
        <v>1738811.8</v>
      </c>
      <c r="Z43" s="211" t="s">
        <v>742</v>
      </c>
      <c r="AA43" s="294">
        <v>0</v>
      </c>
      <c r="AB43" s="568">
        <v>26163.7</v>
      </c>
      <c r="AC43" s="568">
        <v>1048906.6000000001</v>
      </c>
      <c r="AD43" s="568">
        <f t="shared" si="12"/>
        <v>1075070.3</v>
      </c>
      <c r="AE43" s="294">
        <v>0</v>
      </c>
      <c r="AF43" s="568">
        <v>2078.1999999999998</v>
      </c>
      <c r="AG43" s="568">
        <v>21792</v>
      </c>
      <c r="AH43" s="568">
        <f t="shared" si="13"/>
        <v>23870.2</v>
      </c>
      <c r="AI43" s="586">
        <v>25291.599999999999</v>
      </c>
      <c r="AJ43" s="586">
        <v>248078.5</v>
      </c>
      <c r="AK43" s="586">
        <v>19376.900000000001</v>
      </c>
      <c r="AL43" s="586">
        <f t="shared" si="14"/>
        <v>267455.40000000002</v>
      </c>
      <c r="AM43" s="586">
        <f t="shared" si="34"/>
        <v>25291.599999999999</v>
      </c>
      <c r="AN43" s="586">
        <f t="shared" si="34"/>
        <v>276320.40000000002</v>
      </c>
      <c r="AO43" s="586">
        <f t="shared" si="34"/>
        <v>1090075.5</v>
      </c>
      <c r="AP43" s="586">
        <f t="shared" si="34"/>
        <v>1366395.9</v>
      </c>
      <c r="AQ43" s="211" t="s">
        <v>742</v>
      </c>
      <c r="AR43" s="568">
        <v>13576.2</v>
      </c>
      <c r="AS43" s="568">
        <v>52027.3</v>
      </c>
      <c r="AT43" s="568">
        <v>34275.199999999997</v>
      </c>
      <c r="AU43" s="568">
        <v>64.599999999999994</v>
      </c>
      <c r="AV43" s="568">
        <f>1278868-28.8</f>
        <v>1278839.2</v>
      </c>
      <c r="AW43" s="568">
        <v>11712.9</v>
      </c>
      <c r="AX43" s="568">
        <f t="shared" si="16"/>
        <v>1290552.0999999999</v>
      </c>
      <c r="AY43" s="568">
        <f>0.04*AX40</f>
        <v>50163.533600000002</v>
      </c>
      <c r="AZ43" s="568">
        <f t="shared" si="35"/>
        <v>16575.051199999994</v>
      </c>
      <c r="BA43" s="293">
        <f>66742.9-4.3152</f>
        <v>66738.584799999997</v>
      </c>
      <c r="BB43" s="568">
        <v>3388775.5</v>
      </c>
      <c r="BC43" s="568">
        <f t="shared" ref="BC43:BC53" si="41">L43+BA43</f>
        <v>291407.68479999999</v>
      </c>
      <c r="BD43" s="568">
        <v>9096.2000000000007</v>
      </c>
      <c r="BE43" s="568">
        <v>35304.400000000001</v>
      </c>
      <c r="BF43" s="568">
        <v>5435.5</v>
      </c>
      <c r="BG43" s="568">
        <v>244329.3</v>
      </c>
      <c r="BH43" s="568">
        <f t="shared" si="19"/>
        <v>294165.40000000002</v>
      </c>
      <c r="BI43" s="211" t="s">
        <v>742</v>
      </c>
      <c r="BJ43" s="325">
        <v>8.5299999999999994</v>
      </c>
      <c r="BK43" s="325">
        <v>-0.54</v>
      </c>
      <c r="BL43" s="325">
        <v>-0.19</v>
      </c>
      <c r="BM43" s="325">
        <v>1.02</v>
      </c>
      <c r="BN43" s="325">
        <v>2.27</v>
      </c>
      <c r="BO43" s="325" t="s">
        <v>430</v>
      </c>
      <c r="BP43" s="325" t="s">
        <v>430</v>
      </c>
      <c r="BQ43" s="325" t="s">
        <v>430</v>
      </c>
      <c r="BR43" s="477">
        <v>10592</v>
      </c>
      <c r="BS43" s="477">
        <v>3775</v>
      </c>
      <c r="BT43" s="325">
        <f t="shared" ref="BT43:BT49" si="42">AP43/AV43*100</f>
        <v>106.84657617626985</v>
      </c>
      <c r="BU43" s="325">
        <f t="shared" ref="BU43:BU49" si="43">AV43/BR43</f>
        <v>120.73632930513595</v>
      </c>
      <c r="BV43" s="325">
        <f t="shared" si="38"/>
        <v>129.00263406344411</v>
      </c>
      <c r="BW43" s="325">
        <f t="shared" ref="BW43:BW49" si="44">(M43+BA43)/AV43*100</f>
        <v>6.2888191728874121</v>
      </c>
      <c r="BX43" s="325">
        <v>4</v>
      </c>
      <c r="BY43" s="325">
        <v>5.0199999999999996</v>
      </c>
      <c r="BZ43" s="325">
        <v>7.79</v>
      </c>
      <c r="CA43" s="325">
        <f t="shared" si="24"/>
        <v>2.7700000000000005</v>
      </c>
      <c r="CB43" s="325">
        <v>9.5</v>
      </c>
      <c r="CC43" s="325">
        <v>12.87</v>
      </c>
      <c r="CD43" s="325">
        <f t="shared" si="25"/>
        <v>3.3699999999999992</v>
      </c>
    </row>
    <row r="44" spans="1:85" s="213" customFormat="1" ht="10.5" customHeight="1">
      <c r="A44" s="211"/>
      <c r="B44" s="211"/>
      <c r="C44" s="211"/>
      <c r="D44" s="211"/>
      <c r="E44" s="211"/>
      <c r="F44" s="211"/>
      <c r="G44" s="1194"/>
      <c r="H44" s="1194"/>
      <c r="I44" s="384" t="s">
        <v>743</v>
      </c>
      <c r="J44" s="562">
        <v>210318.5</v>
      </c>
      <c r="K44" s="562">
        <v>1541.6</v>
      </c>
      <c r="L44" s="562">
        <f t="shared" si="6"/>
        <v>211860.1</v>
      </c>
      <c r="M44" s="562">
        <v>17870.5</v>
      </c>
      <c r="N44" s="562">
        <f t="shared" si="7"/>
        <v>193989.6</v>
      </c>
      <c r="O44" s="562">
        <v>27376</v>
      </c>
      <c r="P44" s="562">
        <v>82499.399999999994</v>
      </c>
      <c r="Q44" s="562">
        <v>134527.4</v>
      </c>
      <c r="R44" s="562">
        <v>1086384.7</v>
      </c>
      <c r="S44" s="562">
        <f t="shared" si="8"/>
        <v>1220912.0999999999</v>
      </c>
      <c r="T44" s="562">
        <f t="shared" si="9"/>
        <v>1303411.4999999998</v>
      </c>
      <c r="U44" s="562">
        <v>510.6</v>
      </c>
      <c r="V44" s="562">
        <v>282021.69999999995</v>
      </c>
      <c r="W44" s="562">
        <f t="shared" si="32"/>
        <v>329027.59999999998</v>
      </c>
      <c r="X44" s="562">
        <f t="shared" si="33"/>
        <v>1415412.2999999998</v>
      </c>
      <c r="Y44" s="562">
        <v>1751526.5</v>
      </c>
      <c r="Z44" s="376" t="s">
        <v>743</v>
      </c>
      <c r="AA44" s="361">
        <v>0</v>
      </c>
      <c r="AB44" s="562">
        <v>25893.4</v>
      </c>
      <c r="AC44" s="562">
        <v>1055732.1000000001</v>
      </c>
      <c r="AD44" s="562">
        <f t="shared" si="12"/>
        <v>1081625.5</v>
      </c>
      <c r="AE44" s="361">
        <v>0</v>
      </c>
      <c r="AF44" s="562">
        <v>2072.6999999999998</v>
      </c>
      <c r="AG44" s="562">
        <v>21378.5</v>
      </c>
      <c r="AH44" s="562">
        <f t="shared" si="13"/>
        <v>23451.200000000001</v>
      </c>
      <c r="AI44" s="566">
        <v>25555.9</v>
      </c>
      <c r="AJ44" s="566">
        <v>260479.3</v>
      </c>
      <c r="AK44" s="566">
        <v>19522.2</v>
      </c>
      <c r="AL44" s="566">
        <f t="shared" si="14"/>
        <v>280001.5</v>
      </c>
      <c r="AM44" s="566">
        <f t="shared" si="34"/>
        <v>25555.9</v>
      </c>
      <c r="AN44" s="566">
        <f t="shared" si="34"/>
        <v>288445.39999999997</v>
      </c>
      <c r="AO44" s="566">
        <f t="shared" si="34"/>
        <v>1096632.8</v>
      </c>
      <c r="AP44" s="566">
        <f t="shared" si="34"/>
        <v>1385078.2</v>
      </c>
      <c r="AQ44" s="376" t="s">
        <v>743</v>
      </c>
      <c r="AR44" s="562">
        <v>12905.3</v>
      </c>
      <c r="AS44" s="562">
        <v>51771.199999999997</v>
      </c>
      <c r="AT44" s="562">
        <v>34900.699999999997</v>
      </c>
      <c r="AU44" s="562">
        <v>117.9</v>
      </c>
      <c r="AV44" s="562">
        <f>1303461.6-28.51</f>
        <v>1303433.0900000001</v>
      </c>
      <c r="AW44" s="562">
        <v>11122</v>
      </c>
      <c r="AX44" s="562">
        <f t="shared" si="16"/>
        <v>1314555.0900000001</v>
      </c>
      <c r="AY44" s="562">
        <f>0.04*AX41</f>
        <v>51201.913599999993</v>
      </c>
      <c r="AZ44" s="562">
        <f t="shared" si="35"/>
        <v>18445.087300000007</v>
      </c>
      <c r="BA44" s="360">
        <f>69651-3.9991</f>
        <v>69647.000899999999</v>
      </c>
      <c r="BB44" s="562">
        <v>3464093.4</v>
      </c>
      <c r="BC44" s="562">
        <f t="shared" si="41"/>
        <v>281507.10090000002</v>
      </c>
      <c r="BD44" s="562">
        <v>4126.8</v>
      </c>
      <c r="BE44" s="562">
        <v>32053.3</v>
      </c>
      <c r="BF44" s="562">
        <v>4762.3999999999996</v>
      </c>
      <c r="BG44" s="562">
        <v>256728.7</v>
      </c>
      <c r="BH44" s="562">
        <f t="shared" si="19"/>
        <v>297671.2</v>
      </c>
      <c r="BI44" s="376" t="s">
        <v>743</v>
      </c>
      <c r="BJ44" s="367">
        <v>7.75</v>
      </c>
      <c r="BK44" s="367">
        <v>1.1000000000000001</v>
      </c>
      <c r="BL44" s="367">
        <v>0.4</v>
      </c>
      <c r="BM44" s="367">
        <v>1.44</v>
      </c>
      <c r="BN44" s="367">
        <v>3.03</v>
      </c>
      <c r="BO44" s="367" t="s">
        <v>430</v>
      </c>
      <c r="BP44" s="367" t="s">
        <v>430</v>
      </c>
      <c r="BQ44" s="367" t="s">
        <v>430</v>
      </c>
      <c r="BR44" s="368">
        <v>10602</v>
      </c>
      <c r="BS44" s="368">
        <v>3775</v>
      </c>
      <c r="BT44" s="367">
        <f t="shared" si="42"/>
        <v>106.26385125760463</v>
      </c>
      <c r="BU44" s="367">
        <f t="shared" si="43"/>
        <v>122.94218920958311</v>
      </c>
      <c r="BV44" s="367">
        <f t="shared" si="38"/>
        <v>130.64310507451424</v>
      </c>
      <c r="BW44" s="367">
        <f t="shared" si="44"/>
        <v>6.7143838507276188</v>
      </c>
      <c r="BX44" s="367">
        <v>4</v>
      </c>
      <c r="BY44" s="367">
        <v>4.95</v>
      </c>
      <c r="BZ44" s="367">
        <v>7.82</v>
      </c>
      <c r="CA44" s="367">
        <f t="shared" si="24"/>
        <v>2.87</v>
      </c>
      <c r="CB44" s="367">
        <v>9.3699999999999992</v>
      </c>
      <c r="CC44" s="367">
        <v>12.86</v>
      </c>
      <c r="CD44" s="367">
        <f t="shared" si="25"/>
        <v>3.49</v>
      </c>
      <c r="CE44" s="1388"/>
      <c r="CF44" s="1388"/>
      <c r="CG44" s="1388"/>
    </row>
    <row r="45" spans="1:85" s="213" customFormat="1" ht="10.5" customHeight="1">
      <c r="A45" s="211"/>
      <c r="B45" s="211"/>
      <c r="C45" s="211"/>
      <c r="D45" s="211"/>
      <c r="E45" s="211"/>
      <c r="F45" s="211"/>
      <c r="G45" s="1194"/>
      <c r="H45" s="1194"/>
      <c r="I45" s="184" t="s">
        <v>737</v>
      </c>
      <c r="J45" s="568">
        <v>204033.4</v>
      </c>
      <c r="K45" s="568">
        <v>1543</v>
      </c>
      <c r="L45" s="568">
        <f t="shared" si="6"/>
        <v>205576.4</v>
      </c>
      <c r="M45" s="568">
        <v>16378.4</v>
      </c>
      <c r="N45" s="568">
        <f t="shared" si="7"/>
        <v>189198</v>
      </c>
      <c r="O45" s="568">
        <v>29271.200000000001</v>
      </c>
      <c r="P45" s="568">
        <v>86584.2</v>
      </c>
      <c r="Q45" s="568">
        <v>135788</v>
      </c>
      <c r="R45" s="568">
        <v>1100659.5</v>
      </c>
      <c r="S45" s="568">
        <f t="shared" si="8"/>
        <v>1236447.5</v>
      </c>
      <c r="T45" s="568">
        <f t="shared" si="9"/>
        <v>1323031.7</v>
      </c>
      <c r="U45" s="568">
        <v>559</v>
      </c>
      <c r="V45" s="568">
        <v>280821.59999999998</v>
      </c>
      <c r="W45" s="568">
        <f t="shared" si="32"/>
        <v>325545</v>
      </c>
      <c r="X45" s="568">
        <f t="shared" si="33"/>
        <v>1426204.5</v>
      </c>
      <c r="Y45" s="568">
        <v>1766761.2</v>
      </c>
      <c r="Z45" s="211" t="s">
        <v>737</v>
      </c>
      <c r="AA45" s="294">
        <v>0</v>
      </c>
      <c r="AB45" s="568">
        <v>25962.5</v>
      </c>
      <c r="AC45" s="568">
        <v>1066636.1000000001</v>
      </c>
      <c r="AD45" s="568">
        <f t="shared" si="12"/>
        <v>1092598.6000000001</v>
      </c>
      <c r="AE45" s="294">
        <v>0</v>
      </c>
      <c r="AF45" s="568">
        <v>2027.5</v>
      </c>
      <c r="AG45" s="568">
        <v>21766.3</v>
      </c>
      <c r="AH45" s="568">
        <f t="shared" si="13"/>
        <v>23793.8</v>
      </c>
      <c r="AI45" s="586">
        <v>25583.1</v>
      </c>
      <c r="AJ45" s="586">
        <v>267947.90000000002</v>
      </c>
      <c r="AK45" s="586">
        <v>19640.599999999999</v>
      </c>
      <c r="AL45" s="586">
        <f t="shared" si="14"/>
        <v>287588.5</v>
      </c>
      <c r="AM45" s="586">
        <f t="shared" si="34"/>
        <v>25583.1</v>
      </c>
      <c r="AN45" s="586">
        <f t="shared" si="34"/>
        <v>295937.90000000002</v>
      </c>
      <c r="AO45" s="586">
        <f t="shared" si="34"/>
        <v>1108043.0000000002</v>
      </c>
      <c r="AP45" s="586">
        <f t="shared" si="34"/>
        <v>1403980.9000000001</v>
      </c>
      <c r="AQ45" s="211" t="s">
        <v>737</v>
      </c>
      <c r="AR45" s="568">
        <v>11229.6</v>
      </c>
      <c r="AS45" s="568">
        <v>54460.7</v>
      </c>
      <c r="AT45" s="568">
        <v>30658.1</v>
      </c>
      <c r="AU45" s="568">
        <v>79.8</v>
      </c>
      <c r="AV45" s="568">
        <f>1323081.9-29.44</f>
        <v>1323052.46</v>
      </c>
      <c r="AW45" s="568">
        <v>9230.2999999999993</v>
      </c>
      <c r="AX45" s="568">
        <f t="shared" si="16"/>
        <v>1332282.76</v>
      </c>
      <c r="AY45" s="568">
        <f t="shared" ref="AY45:AY53" si="45">0.04*AX43</f>
        <v>51622.083999999995</v>
      </c>
      <c r="AZ45" s="568">
        <f t="shared" si="35"/>
        <v>23060.964</v>
      </c>
      <c r="BA45" s="293">
        <f>74686.2-3.152</f>
        <v>74683.047999999995</v>
      </c>
      <c r="BB45" s="568">
        <v>3520630.9</v>
      </c>
      <c r="BC45" s="568">
        <f t="shared" si="41"/>
        <v>280259.44799999997</v>
      </c>
      <c r="BD45" s="568">
        <v>4126.8</v>
      </c>
      <c r="BE45" s="568">
        <v>29407.4</v>
      </c>
      <c r="BF45" s="568">
        <v>4947.7</v>
      </c>
      <c r="BG45" s="568">
        <v>264196.8</v>
      </c>
      <c r="BH45" s="568">
        <f t="shared" si="19"/>
        <v>302678.7</v>
      </c>
      <c r="BI45" s="211" t="s">
        <v>737</v>
      </c>
      <c r="BJ45" s="325">
        <v>5.16</v>
      </c>
      <c r="BK45" s="325">
        <v>0.56000000000000005</v>
      </c>
      <c r="BL45" s="325">
        <v>1.44</v>
      </c>
      <c r="BM45" s="325">
        <v>1.94</v>
      </c>
      <c r="BN45" s="325">
        <v>3.82</v>
      </c>
      <c r="BO45" s="325" t="s">
        <v>430</v>
      </c>
      <c r="BP45" s="325" t="s">
        <v>430</v>
      </c>
      <c r="BQ45" s="325" t="s">
        <v>430</v>
      </c>
      <c r="BR45" s="477">
        <v>10607</v>
      </c>
      <c r="BS45" s="477">
        <v>3775</v>
      </c>
      <c r="BT45" s="325">
        <f t="shared" si="42"/>
        <v>106.11679751534571</v>
      </c>
      <c r="BU45" s="325">
        <f t="shared" si="43"/>
        <v>124.73389836900159</v>
      </c>
      <c r="BV45" s="325">
        <f t="shared" si="38"/>
        <v>132.36361836523051</v>
      </c>
      <c r="BW45" s="325">
        <f t="shared" si="44"/>
        <v>6.8826785598509064</v>
      </c>
      <c r="BX45" s="325">
        <v>4</v>
      </c>
      <c r="BY45" s="325">
        <v>4.79</v>
      </c>
      <c r="BZ45" s="325">
        <v>7.79</v>
      </c>
      <c r="CA45" s="325">
        <f t="shared" si="24"/>
        <v>3</v>
      </c>
      <c r="CB45" s="325">
        <v>9.2200000000000006</v>
      </c>
      <c r="CC45" s="325">
        <v>12.62</v>
      </c>
      <c r="CD45" s="325">
        <f t="shared" si="25"/>
        <v>3.3999999999999986</v>
      </c>
    </row>
    <row r="46" spans="1:85" s="213" customFormat="1" ht="10.5" customHeight="1">
      <c r="A46" s="211"/>
      <c r="B46" s="211"/>
      <c r="C46" s="211"/>
      <c r="D46" s="211"/>
      <c r="E46" s="211"/>
      <c r="F46" s="211"/>
      <c r="G46" s="1194"/>
      <c r="H46" s="1194"/>
      <c r="I46" s="384" t="s">
        <v>744</v>
      </c>
      <c r="J46" s="562">
        <v>202262.3</v>
      </c>
      <c r="K46" s="562">
        <v>1544.6</v>
      </c>
      <c r="L46" s="562">
        <f t="shared" si="6"/>
        <v>203806.9</v>
      </c>
      <c r="M46" s="562">
        <v>15750.7</v>
      </c>
      <c r="N46" s="562">
        <f t="shared" si="7"/>
        <v>188056.19999999998</v>
      </c>
      <c r="O46" s="562">
        <v>29589</v>
      </c>
      <c r="P46" s="562">
        <v>88260.3</v>
      </c>
      <c r="Q46" s="562">
        <v>134026.29999999999</v>
      </c>
      <c r="R46" s="562">
        <v>1117093.8</v>
      </c>
      <c r="S46" s="562">
        <f t="shared" si="8"/>
        <v>1251120.1000000001</v>
      </c>
      <c r="T46" s="562">
        <f t="shared" si="9"/>
        <v>1339380.4000000001</v>
      </c>
      <c r="U46" s="562">
        <v>551.70000000000005</v>
      </c>
      <c r="V46" s="562">
        <v>289171.7</v>
      </c>
      <c r="W46" s="562">
        <f t="shared" si="32"/>
        <v>322634.2</v>
      </c>
      <c r="X46" s="562">
        <f t="shared" si="33"/>
        <v>1439728</v>
      </c>
      <c r="Y46" s="562">
        <v>1784098.5</v>
      </c>
      <c r="Z46" s="376" t="s">
        <v>744</v>
      </c>
      <c r="AA46" s="361">
        <v>0</v>
      </c>
      <c r="AB46" s="562">
        <v>26049.9</v>
      </c>
      <c r="AC46" s="562">
        <v>1068268.2</v>
      </c>
      <c r="AD46" s="562">
        <f t="shared" si="12"/>
        <v>1094318.0999999999</v>
      </c>
      <c r="AE46" s="361">
        <v>0</v>
      </c>
      <c r="AF46" s="562">
        <v>1995.8</v>
      </c>
      <c r="AG46" s="562">
        <v>21072.7</v>
      </c>
      <c r="AH46" s="562">
        <f t="shared" si="13"/>
        <v>23068.5</v>
      </c>
      <c r="AI46" s="566">
        <v>25949</v>
      </c>
      <c r="AJ46" s="566">
        <v>270927.3</v>
      </c>
      <c r="AK46" s="566">
        <v>19896.400000000001</v>
      </c>
      <c r="AL46" s="566">
        <f t="shared" si="14"/>
        <v>290823.7</v>
      </c>
      <c r="AM46" s="566">
        <f t="shared" si="34"/>
        <v>25949</v>
      </c>
      <c r="AN46" s="566">
        <f t="shared" si="34"/>
        <v>298973</v>
      </c>
      <c r="AO46" s="566">
        <f t="shared" si="34"/>
        <v>1109237.2999999998</v>
      </c>
      <c r="AP46" s="566">
        <f t="shared" si="34"/>
        <v>1408210.2999999998</v>
      </c>
      <c r="AQ46" s="376" t="s">
        <v>744</v>
      </c>
      <c r="AR46" s="562">
        <v>10282.799999999999</v>
      </c>
      <c r="AS46" s="562">
        <v>56386.9</v>
      </c>
      <c r="AT46" s="562">
        <v>31731.8</v>
      </c>
      <c r="AU46" s="562">
        <v>5.8</v>
      </c>
      <c r="AV46" s="562">
        <f>1339430.5-30.36</f>
        <v>1339400.1399999999</v>
      </c>
      <c r="AW46" s="562">
        <v>11251.2</v>
      </c>
      <c r="AX46" s="562">
        <f t="shared" si="16"/>
        <v>1350651.3399999999</v>
      </c>
      <c r="AY46" s="562">
        <f t="shared" si="45"/>
        <v>52582.203600000008</v>
      </c>
      <c r="AZ46" s="562">
        <f t="shared" si="35"/>
        <v>32228.857099999994</v>
      </c>
      <c r="BA46" s="360">
        <f>84813.1-2.0393</f>
        <v>84811.060700000002</v>
      </c>
      <c r="BB46" s="562">
        <v>3589034.8</v>
      </c>
      <c r="BC46" s="562">
        <f t="shared" si="41"/>
        <v>288617.9607</v>
      </c>
      <c r="BD46" s="562">
        <v>4126.8</v>
      </c>
      <c r="BE46" s="562">
        <v>30357.8</v>
      </c>
      <c r="BF46" s="562">
        <v>4665.6000000000004</v>
      </c>
      <c r="BG46" s="562">
        <v>267163.7</v>
      </c>
      <c r="BH46" s="562">
        <f t="shared" si="19"/>
        <v>306313.89999999997</v>
      </c>
      <c r="BI46" s="376" t="s">
        <v>744</v>
      </c>
      <c r="BJ46" s="367">
        <v>5.77</v>
      </c>
      <c r="BK46" s="367">
        <v>2.88</v>
      </c>
      <c r="BL46" s="367">
        <v>1.55</v>
      </c>
      <c r="BM46" s="367">
        <v>2.17</v>
      </c>
      <c r="BN46" s="367">
        <v>4.8</v>
      </c>
      <c r="BO46" s="367" t="s">
        <v>430</v>
      </c>
      <c r="BP46" s="367" t="s">
        <v>430</v>
      </c>
      <c r="BQ46" s="367" t="s">
        <v>430</v>
      </c>
      <c r="BR46" s="368">
        <v>10621</v>
      </c>
      <c r="BS46" s="368">
        <v>3776</v>
      </c>
      <c r="BT46" s="367">
        <f t="shared" si="42"/>
        <v>105.13738635266978</v>
      </c>
      <c r="BU46" s="367">
        <f t="shared" si="43"/>
        <v>126.10866585067319</v>
      </c>
      <c r="BV46" s="367">
        <f t="shared" si="38"/>
        <v>132.5873552396196</v>
      </c>
      <c r="BW46" s="367">
        <f t="shared" si="44"/>
        <v>7.5079700006601469</v>
      </c>
      <c r="BX46" s="367">
        <v>4</v>
      </c>
      <c r="BY46" s="367">
        <v>4.7300000000000004</v>
      </c>
      <c r="BZ46" s="367">
        <v>7.67</v>
      </c>
      <c r="CA46" s="367">
        <f t="shared" si="24"/>
        <v>2.9399999999999995</v>
      </c>
      <c r="CB46" s="367">
        <v>9.1199999999999992</v>
      </c>
      <c r="CC46" s="367">
        <v>12.37</v>
      </c>
      <c r="CD46" s="367">
        <f t="shared" si="25"/>
        <v>3.25</v>
      </c>
    </row>
    <row r="47" spans="1:85" s="213" customFormat="1" ht="10.5" customHeight="1">
      <c r="A47" s="211"/>
      <c r="B47" s="211"/>
      <c r="C47" s="211"/>
      <c r="D47" s="211"/>
      <c r="E47" s="211"/>
      <c r="F47" s="211"/>
      <c r="G47" s="1194"/>
      <c r="H47" s="1194"/>
      <c r="I47" s="184" t="s">
        <v>745</v>
      </c>
      <c r="J47" s="568">
        <v>200463.5</v>
      </c>
      <c r="K47" s="568">
        <v>1544.5</v>
      </c>
      <c r="L47" s="568">
        <f t="shared" si="6"/>
        <v>202008</v>
      </c>
      <c r="M47" s="568">
        <v>16571.099999999999</v>
      </c>
      <c r="N47" s="568">
        <f t="shared" si="7"/>
        <v>185436.9</v>
      </c>
      <c r="O47" s="568">
        <v>32044.7</v>
      </c>
      <c r="P47" s="568">
        <v>89278.3</v>
      </c>
      <c r="Q47" s="568">
        <v>140119</v>
      </c>
      <c r="R47" s="568">
        <v>1127882.5</v>
      </c>
      <c r="S47" s="568">
        <f t="shared" si="8"/>
        <v>1268001.5</v>
      </c>
      <c r="T47" s="568">
        <f t="shared" si="9"/>
        <v>1357279.8</v>
      </c>
      <c r="U47" s="568">
        <v>521.70000000000005</v>
      </c>
      <c r="V47" s="568">
        <v>297095.60000000003</v>
      </c>
      <c r="W47" s="568">
        <f t="shared" si="32"/>
        <v>326077.60000000003</v>
      </c>
      <c r="X47" s="568">
        <f t="shared" si="33"/>
        <v>1453960.1</v>
      </c>
      <c r="Y47" s="568">
        <v>1800909.9000000001</v>
      </c>
      <c r="Z47" s="211" t="s">
        <v>745</v>
      </c>
      <c r="AA47" s="294">
        <v>0</v>
      </c>
      <c r="AB47" s="568">
        <v>26584.9</v>
      </c>
      <c r="AC47" s="568">
        <v>1074998.1000000001</v>
      </c>
      <c r="AD47" s="568">
        <f t="shared" si="12"/>
        <v>1101583</v>
      </c>
      <c r="AE47" s="294">
        <v>0</v>
      </c>
      <c r="AF47" s="568">
        <v>1978.4</v>
      </c>
      <c r="AG47" s="568">
        <v>20826.7</v>
      </c>
      <c r="AH47" s="568">
        <f t="shared" si="13"/>
        <v>22805.100000000002</v>
      </c>
      <c r="AI47" s="586">
        <v>26148.400000000001</v>
      </c>
      <c r="AJ47" s="586">
        <v>274568.7</v>
      </c>
      <c r="AK47" s="586">
        <v>20029.8</v>
      </c>
      <c r="AL47" s="586">
        <f t="shared" si="14"/>
        <v>294598.5</v>
      </c>
      <c r="AM47" s="586">
        <f t="shared" si="34"/>
        <v>26148.400000000001</v>
      </c>
      <c r="AN47" s="586">
        <f t="shared" si="34"/>
        <v>303132</v>
      </c>
      <c r="AO47" s="586">
        <f t="shared" si="34"/>
        <v>1115854.6000000001</v>
      </c>
      <c r="AP47" s="586">
        <f t="shared" si="34"/>
        <v>1418986.6</v>
      </c>
      <c r="AQ47" s="211" t="s">
        <v>745</v>
      </c>
      <c r="AR47" s="568">
        <v>9550.1</v>
      </c>
      <c r="AS47" s="568">
        <v>58082</v>
      </c>
      <c r="AT47" s="568">
        <v>32466.3</v>
      </c>
      <c r="AU47" s="568">
        <v>9.5</v>
      </c>
      <c r="AV47" s="568">
        <f>1357330.1-30.5</f>
        <v>1357299.6</v>
      </c>
      <c r="AW47" s="568">
        <v>9556.1</v>
      </c>
      <c r="AX47" s="568">
        <f t="shared" si="16"/>
        <v>1366855.7000000002</v>
      </c>
      <c r="AY47" s="568">
        <f t="shared" si="45"/>
        <v>53291.310400000002</v>
      </c>
      <c r="AZ47" s="568">
        <f t="shared" si="35"/>
        <v>41271.343599999993</v>
      </c>
      <c r="BA47" s="293">
        <f>94565.9-3.246</f>
        <v>94562.653999999995</v>
      </c>
      <c r="BB47" s="568">
        <v>3658686.4</v>
      </c>
      <c r="BC47" s="568">
        <f t="shared" si="41"/>
        <v>296570.65399999998</v>
      </c>
      <c r="BD47" s="568">
        <v>4126.8</v>
      </c>
      <c r="BE47" s="568">
        <v>29047.599999999999</v>
      </c>
      <c r="BF47" s="568">
        <v>4562.3</v>
      </c>
      <c r="BG47" s="568">
        <v>270802.2</v>
      </c>
      <c r="BH47" s="568">
        <f t="shared" si="19"/>
        <v>308538.89999999997</v>
      </c>
      <c r="BI47" s="211" t="s">
        <v>745</v>
      </c>
      <c r="BJ47" s="325">
        <v>6.62</v>
      </c>
      <c r="BK47" s="325">
        <v>4.88</v>
      </c>
      <c r="BL47" s="325">
        <v>2.15</v>
      </c>
      <c r="BM47" s="325">
        <v>2.83</v>
      </c>
      <c r="BN47" s="325">
        <v>5.84</v>
      </c>
      <c r="BO47" s="325" t="s">
        <v>430</v>
      </c>
      <c r="BP47" s="325" t="s">
        <v>430</v>
      </c>
      <c r="BQ47" s="325" t="s">
        <v>430</v>
      </c>
      <c r="BR47" s="477">
        <v>10628</v>
      </c>
      <c r="BS47" s="477">
        <v>3777</v>
      </c>
      <c r="BT47" s="325">
        <f t="shared" si="42"/>
        <v>104.54483299044661</v>
      </c>
      <c r="BU47" s="325">
        <f t="shared" si="43"/>
        <v>127.70978547233723</v>
      </c>
      <c r="BV47" s="325">
        <f t="shared" si="38"/>
        <v>133.51398193451263</v>
      </c>
      <c r="BW47" s="325">
        <f t="shared" si="44"/>
        <v>8.1878572718948703</v>
      </c>
      <c r="BX47" s="325">
        <v>4</v>
      </c>
      <c r="BY47" s="325">
        <v>4.6399999999999997</v>
      </c>
      <c r="BZ47" s="325">
        <v>7.62</v>
      </c>
      <c r="CA47" s="325">
        <f t="shared" si="24"/>
        <v>2.9800000000000004</v>
      </c>
      <c r="CB47" s="325">
        <v>8.91</v>
      </c>
      <c r="CC47" s="325">
        <v>12.26</v>
      </c>
      <c r="CD47" s="325">
        <f t="shared" si="25"/>
        <v>3.3499999999999996</v>
      </c>
    </row>
    <row r="48" spans="1:85" s="213" customFormat="1" ht="10.5" customHeight="1">
      <c r="A48" s="211"/>
      <c r="B48" s="211"/>
      <c r="C48" s="211"/>
      <c r="D48" s="211"/>
      <c r="E48" s="211"/>
      <c r="F48" s="211"/>
      <c r="G48" s="1194"/>
      <c r="H48" s="1194"/>
      <c r="I48" s="742" t="s">
        <v>738</v>
      </c>
      <c r="J48" s="562">
        <v>201526</v>
      </c>
      <c r="K48" s="562">
        <v>1544.1</v>
      </c>
      <c r="L48" s="562">
        <f t="shared" si="6"/>
        <v>203070.1</v>
      </c>
      <c r="M48" s="562">
        <v>15607.2</v>
      </c>
      <c r="N48" s="562">
        <f t="shared" si="7"/>
        <v>187462.9</v>
      </c>
      <c r="O48" s="562">
        <v>35460.699999999997</v>
      </c>
      <c r="P48" s="562">
        <v>92145</v>
      </c>
      <c r="Q48" s="562">
        <v>148172.20000000001</v>
      </c>
      <c r="R48" s="562">
        <v>1142300.2</v>
      </c>
      <c r="S48" s="562">
        <f t="shared" si="8"/>
        <v>1290472.3999999999</v>
      </c>
      <c r="T48" s="562">
        <f t="shared" si="9"/>
        <v>1382617.4</v>
      </c>
      <c r="U48" s="562">
        <v>749.2</v>
      </c>
      <c r="V48" s="562">
        <v>304054.3</v>
      </c>
      <c r="W48" s="562">
        <f t="shared" si="32"/>
        <v>336384.3</v>
      </c>
      <c r="X48" s="562">
        <f t="shared" si="33"/>
        <v>1478684.5</v>
      </c>
      <c r="Y48" s="562">
        <v>1829394</v>
      </c>
      <c r="Z48" s="376" t="s">
        <v>738</v>
      </c>
      <c r="AA48" s="361">
        <v>0</v>
      </c>
      <c r="AB48" s="562">
        <v>27168.799999999999</v>
      </c>
      <c r="AC48" s="562">
        <v>1095674.5</v>
      </c>
      <c r="AD48" s="562">
        <f t="shared" si="12"/>
        <v>1122843.3</v>
      </c>
      <c r="AE48" s="361">
        <v>0</v>
      </c>
      <c r="AF48" s="562">
        <v>1871.5</v>
      </c>
      <c r="AG48" s="562">
        <v>20192.5</v>
      </c>
      <c r="AH48" s="562">
        <f t="shared" si="13"/>
        <v>22064</v>
      </c>
      <c r="AI48" s="566">
        <v>28568.400000000001</v>
      </c>
      <c r="AJ48" s="566">
        <v>283526.5</v>
      </c>
      <c r="AK48" s="566">
        <v>20106.900000000001</v>
      </c>
      <c r="AL48" s="566">
        <f t="shared" si="14"/>
        <v>303633.40000000002</v>
      </c>
      <c r="AM48" s="566">
        <f t="shared" si="34"/>
        <v>28568.400000000001</v>
      </c>
      <c r="AN48" s="566">
        <f t="shared" si="34"/>
        <v>312566.8</v>
      </c>
      <c r="AO48" s="566">
        <f t="shared" si="34"/>
        <v>1135973.8999999999</v>
      </c>
      <c r="AP48" s="566">
        <f t="shared" si="34"/>
        <v>1448540.7000000002</v>
      </c>
      <c r="AQ48" s="376" t="s">
        <v>738</v>
      </c>
      <c r="AR48" s="562">
        <v>9061.2999999999993</v>
      </c>
      <c r="AS48" s="562">
        <v>60007.1</v>
      </c>
      <c r="AT48" s="562">
        <v>32131.9</v>
      </c>
      <c r="AU48" s="562">
        <v>239.3</v>
      </c>
      <c r="AV48" s="562">
        <f>1382667.8-31.66</f>
        <v>1382636.1400000001</v>
      </c>
      <c r="AW48" s="562">
        <v>9568.2999999999993</v>
      </c>
      <c r="AX48" s="562">
        <f t="shared" si="16"/>
        <v>1392204.4400000002</v>
      </c>
      <c r="AY48" s="562">
        <f t="shared" si="45"/>
        <v>54026.053599999992</v>
      </c>
      <c r="AZ48" s="562">
        <f t="shared" si="35"/>
        <v>46205.053700000011</v>
      </c>
      <c r="BA48" s="360">
        <f>100235-3.8927</f>
        <v>100231.1073</v>
      </c>
      <c r="BB48" s="562">
        <v>3494909</v>
      </c>
      <c r="BC48" s="562">
        <f t="shared" si="41"/>
        <v>303301.20730000001</v>
      </c>
      <c r="BD48" s="562">
        <v>4126.8</v>
      </c>
      <c r="BE48" s="562">
        <v>27028.5</v>
      </c>
      <c r="BF48" s="562">
        <v>4715.3</v>
      </c>
      <c r="BG48" s="562">
        <v>279694.59999999998</v>
      </c>
      <c r="BH48" s="562">
        <f t="shared" si="19"/>
        <v>315565.19999999995</v>
      </c>
      <c r="BI48" s="376" t="s">
        <v>738</v>
      </c>
      <c r="BJ48" s="367">
        <v>5.59</v>
      </c>
      <c r="BK48" s="367">
        <v>6.07</v>
      </c>
      <c r="BL48" s="367">
        <v>4.01</v>
      </c>
      <c r="BM48" s="367">
        <v>4.28</v>
      </c>
      <c r="BN48" s="367">
        <v>7.64</v>
      </c>
      <c r="BO48" s="367" t="s">
        <v>430</v>
      </c>
      <c r="BP48" s="367" t="s">
        <v>430</v>
      </c>
      <c r="BQ48" s="367" t="s">
        <v>430</v>
      </c>
      <c r="BR48" s="368">
        <v>10752</v>
      </c>
      <c r="BS48" s="368">
        <v>3798</v>
      </c>
      <c r="BT48" s="367">
        <f t="shared" si="42"/>
        <v>104.76658739731771</v>
      </c>
      <c r="BU48" s="367">
        <f t="shared" si="43"/>
        <v>128.59339099702382</v>
      </c>
      <c r="BV48" s="367">
        <f t="shared" si="38"/>
        <v>134.72290736607144</v>
      </c>
      <c r="BW48" s="367">
        <f t="shared" si="44"/>
        <v>8.3780760497118205</v>
      </c>
      <c r="BX48" s="367">
        <v>4</v>
      </c>
      <c r="BY48" s="367">
        <v>4.54</v>
      </c>
      <c r="BZ48" s="367">
        <v>7.61</v>
      </c>
      <c r="CA48" s="367">
        <f t="shared" si="24"/>
        <v>3.0700000000000003</v>
      </c>
      <c r="CB48" s="367">
        <v>8.69</v>
      </c>
      <c r="CC48" s="367">
        <v>12.04</v>
      </c>
      <c r="CD48" s="367">
        <f t="shared" si="25"/>
        <v>3.3499999999999996</v>
      </c>
    </row>
    <row r="49" spans="1:82" s="213" customFormat="1" ht="10.5" customHeight="1">
      <c r="A49" s="211"/>
      <c r="B49" s="211"/>
      <c r="C49" s="211"/>
      <c r="D49" s="211"/>
      <c r="E49" s="211"/>
      <c r="F49" s="211"/>
      <c r="G49" s="1194"/>
      <c r="H49" s="1194"/>
      <c r="I49" s="306" t="s">
        <v>746</v>
      </c>
      <c r="J49" s="568">
        <v>201812.7</v>
      </c>
      <c r="K49" s="568">
        <v>1546.5</v>
      </c>
      <c r="L49" s="568">
        <f t="shared" si="6"/>
        <v>203359.2</v>
      </c>
      <c r="M49" s="568">
        <v>17617.3</v>
      </c>
      <c r="N49" s="568">
        <f t="shared" si="7"/>
        <v>185741.90000000002</v>
      </c>
      <c r="O49" s="568">
        <v>33786</v>
      </c>
      <c r="P49" s="568">
        <v>92533.6</v>
      </c>
      <c r="Q49" s="568">
        <v>142076.1</v>
      </c>
      <c r="R49" s="568">
        <v>1144125.1000000001</v>
      </c>
      <c r="S49" s="568">
        <f t="shared" si="8"/>
        <v>1286201.2000000002</v>
      </c>
      <c r="T49" s="568">
        <f t="shared" si="9"/>
        <v>1378734.8000000003</v>
      </c>
      <c r="U49" s="568">
        <v>527.79999999999995</v>
      </c>
      <c r="V49" s="568">
        <v>301225.2</v>
      </c>
      <c r="W49" s="568">
        <f t="shared" si="32"/>
        <v>328345.8</v>
      </c>
      <c r="X49" s="568">
        <f t="shared" si="33"/>
        <v>1472470.9000000001</v>
      </c>
      <c r="Y49" s="568">
        <v>1827481.8000000003</v>
      </c>
      <c r="Z49" s="211" t="s">
        <v>746</v>
      </c>
      <c r="AA49" s="294">
        <v>0</v>
      </c>
      <c r="AB49" s="568">
        <v>27189.5</v>
      </c>
      <c r="AC49" s="568">
        <v>1093932.8999999999</v>
      </c>
      <c r="AD49" s="568">
        <f t="shared" si="12"/>
        <v>1121122.3999999999</v>
      </c>
      <c r="AE49" s="294">
        <v>0</v>
      </c>
      <c r="AF49" s="568">
        <v>1819</v>
      </c>
      <c r="AG49" s="568">
        <v>20363.2</v>
      </c>
      <c r="AH49" s="568">
        <f t="shared" si="13"/>
        <v>22182.2</v>
      </c>
      <c r="AI49" s="586">
        <v>28560.1</v>
      </c>
      <c r="AJ49" s="586">
        <v>284550.8</v>
      </c>
      <c r="AK49" s="586">
        <v>20364.099999999999</v>
      </c>
      <c r="AL49" s="586">
        <f t="shared" si="14"/>
        <v>304914.89999999997</v>
      </c>
      <c r="AM49" s="586">
        <f t="shared" si="34"/>
        <v>28560.1</v>
      </c>
      <c r="AN49" s="586">
        <f t="shared" si="34"/>
        <v>313559.3</v>
      </c>
      <c r="AO49" s="586">
        <f t="shared" si="34"/>
        <v>1134660.2</v>
      </c>
      <c r="AP49" s="586">
        <f t="shared" si="34"/>
        <v>1448219.4999999998</v>
      </c>
      <c r="AQ49" s="211" t="s">
        <v>746</v>
      </c>
      <c r="AR49" s="568">
        <v>8229.2999999999993</v>
      </c>
      <c r="AS49" s="568">
        <v>60862.2</v>
      </c>
      <c r="AT49" s="568">
        <v>35315</v>
      </c>
      <c r="AU49" s="568">
        <v>18.5</v>
      </c>
      <c r="AV49" s="568">
        <f>1378785.1-30.06</f>
        <v>1378755.04</v>
      </c>
      <c r="AW49" s="568">
        <v>10076.5</v>
      </c>
      <c r="AX49" s="568">
        <f t="shared" si="16"/>
        <v>1388831.54</v>
      </c>
      <c r="AY49" s="568">
        <f t="shared" si="45"/>
        <v>54674.22800000001</v>
      </c>
      <c r="AZ49" s="568">
        <f t="shared" si="35"/>
        <v>42662.268899999988</v>
      </c>
      <c r="BA49" s="293">
        <f>97338.2-1.7031</f>
        <v>97336.496899999998</v>
      </c>
      <c r="BB49" s="568">
        <v>3537403.7</v>
      </c>
      <c r="BC49" s="568">
        <f t="shared" si="41"/>
        <v>300695.69689999998</v>
      </c>
      <c r="BD49" s="568">
        <v>4126.8</v>
      </c>
      <c r="BE49" s="568">
        <v>32332.9</v>
      </c>
      <c r="BF49" s="568">
        <v>4956.2</v>
      </c>
      <c r="BG49" s="568">
        <v>280740.3</v>
      </c>
      <c r="BH49" s="568">
        <f t="shared" si="19"/>
        <v>322156.2</v>
      </c>
      <c r="BI49" s="211" t="s">
        <v>746</v>
      </c>
      <c r="BJ49" s="325">
        <v>5.64</v>
      </c>
      <c r="BK49" s="325">
        <v>6.25</v>
      </c>
      <c r="BL49" s="325">
        <v>3.9</v>
      </c>
      <c r="BM49" s="325">
        <v>4.1900000000000004</v>
      </c>
      <c r="BN49" s="325">
        <v>7.19</v>
      </c>
      <c r="BO49" s="325" t="s">
        <v>430</v>
      </c>
      <c r="BP49" s="325" t="s">
        <v>430</v>
      </c>
      <c r="BQ49" s="325" t="s">
        <v>430</v>
      </c>
      <c r="BR49" s="477">
        <v>10752</v>
      </c>
      <c r="BS49" s="477">
        <v>3798</v>
      </c>
      <c r="BT49" s="325">
        <f t="shared" si="42"/>
        <v>105.03820170985556</v>
      </c>
      <c r="BU49" s="325">
        <f t="shared" si="43"/>
        <v>128.23242559523811</v>
      </c>
      <c r="BV49" s="325">
        <f t="shared" si="38"/>
        <v>134.69303385416666</v>
      </c>
      <c r="BW49" s="325">
        <f t="shared" si="44"/>
        <v>8.3375069221868454</v>
      </c>
      <c r="BX49" s="325">
        <v>4</v>
      </c>
      <c r="BY49" s="325">
        <v>4.51</v>
      </c>
      <c r="BZ49" s="325">
        <v>7.56</v>
      </c>
      <c r="CA49" s="325">
        <f t="shared" si="24"/>
        <v>3.05</v>
      </c>
      <c r="CB49" s="325">
        <v>8.48</v>
      </c>
      <c r="CC49" s="325">
        <v>11.86</v>
      </c>
      <c r="CD49" s="325">
        <f t="shared" si="25"/>
        <v>3.379999999999999</v>
      </c>
    </row>
    <row r="50" spans="1:82" s="213" customFormat="1" ht="10.5" customHeight="1">
      <c r="A50" s="211"/>
      <c r="B50" s="211"/>
      <c r="C50" s="211"/>
      <c r="D50" s="211"/>
      <c r="E50" s="211"/>
      <c r="F50" s="211"/>
      <c r="G50" s="211"/>
      <c r="H50" s="211"/>
      <c r="I50" s="376" t="s">
        <v>747</v>
      </c>
      <c r="J50" s="562">
        <v>201832.9</v>
      </c>
      <c r="K50" s="562">
        <v>1548.9</v>
      </c>
      <c r="L50" s="562">
        <f t="shared" si="6"/>
        <v>203381.8</v>
      </c>
      <c r="M50" s="562">
        <v>18049</v>
      </c>
      <c r="N50" s="562">
        <f t="shared" si="7"/>
        <v>185332.8</v>
      </c>
      <c r="O50" s="562">
        <v>35517</v>
      </c>
      <c r="P50" s="562">
        <v>91772.1</v>
      </c>
      <c r="Q50" s="562">
        <v>144658.4</v>
      </c>
      <c r="R50" s="562">
        <v>1150383.2</v>
      </c>
      <c r="S50" s="562">
        <f t="shared" si="8"/>
        <v>1295041.5999999999</v>
      </c>
      <c r="T50" s="562">
        <f t="shared" si="9"/>
        <v>1386813.7</v>
      </c>
      <c r="U50" s="562">
        <v>558.70000000000005</v>
      </c>
      <c r="V50" s="562">
        <v>300493.40000000002</v>
      </c>
      <c r="W50" s="562">
        <f t="shared" si="32"/>
        <v>330549.89999999997</v>
      </c>
      <c r="X50" s="562">
        <f t="shared" si="33"/>
        <v>1480933.0999999999</v>
      </c>
      <c r="Y50" s="562">
        <v>1839453.9</v>
      </c>
      <c r="Z50" s="376" t="s">
        <v>747</v>
      </c>
      <c r="AA50" s="361">
        <v>0</v>
      </c>
      <c r="AB50" s="562">
        <v>27781.8</v>
      </c>
      <c r="AC50" s="562">
        <v>1105631.6000000001</v>
      </c>
      <c r="AD50" s="562">
        <f t="shared" si="12"/>
        <v>1133413.4000000001</v>
      </c>
      <c r="AE50" s="361">
        <v>0</v>
      </c>
      <c r="AF50" s="562">
        <v>1839.7</v>
      </c>
      <c r="AG50" s="562">
        <v>21669.9</v>
      </c>
      <c r="AH50" s="562">
        <f t="shared" si="13"/>
        <v>23509.600000000002</v>
      </c>
      <c r="AI50" s="566">
        <v>28327.5</v>
      </c>
      <c r="AJ50" s="566">
        <v>282593.90000000002</v>
      </c>
      <c r="AK50" s="566">
        <v>20833.8</v>
      </c>
      <c r="AL50" s="566">
        <f t="shared" si="14"/>
        <v>303427.7</v>
      </c>
      <c r="AM50" s="566">
        <f t="shared" si="34"/>
        <v>28327.5</v>
      </c>
      <c r="AN50" s="566">
        <f t="shared" si="34"/>
        <v>312215.40000000002</v>
      </c>
      <c r="AO50" s="566">
        <f t="shared" si="34"/>
        <v>1148135.3</v>
      </c>
      <c r="AP50" s="566">
        <f t="shared" si="34"/>
        <v>1460350.7000000002</v>
      </c>
      <c r="AQ50" s="376" t="s">
        <v>747</v>
      </c>
      <c r="AR50" s="562">
        <v>7678.1</v>
      </c>
      <c r="AS50" s="562">
        <v>63584.4</v>
      </c>
      <c r="AT50" s="562">
        <v>38197.1</v>
      </c>
      <c r="AU50" s="562">
        <v>18.7</v>
      </c>
      <c r="AV50" s="562">
        <f>1386864.1-30.25</f>
        <v>1386833.85</v>
      </c>
      <c r="AW50" s="562">
        <v>9682</v>
      </c>
      <c r="AX50" s="562">
        <f t="shared" si="16"/>
        <v>1396515.85</v>
      </c>
      <c r="AY50" s="562">
        <f t="shared" si="45"/>
        <v>55688.17760000001</v>
      </c>
      <c r="AZ50" s="562">
        <f t="shared" si="35"/>
        <v>40861.355499999991</v>
      </c>
      <c r="BA50" s="566">
        <f>96552.9-3.3669</f>
        <v>96549.533100000001</v>
      </c>
      <c r="BB50" s="562">
        <v>3567488.5</v>
      </c>
      <c r="BC50" s="562">
        <f t="shared" si="41"/>
        <v>299931.33309999999</v>
      </c>
      <c r="BD50" s="1190">
        <v>4126.8</v>
      </c>
      <c r="BE50" s="562">
        <v>26571.7</v>
      </c>
      <c r="BF50" s="562">
        <v>5090.2</v>
      </c>
      <c r="BG50" s="562">
        <v>278826.09999999998</v>
      </c>
      <c r="BH50" s="562">
        <f t="shared" si="19"/>
        <v>314614.8</v>
      </c>
      <c r="BI50" s="376" t="s">
        <v>747</v>
      </c>
      <c r="BJ50" s="367">
        <v>-0.9</v>
      </c>
      <c r="BK50" s="367">
        <v>7.76</v>
      </c>
      <c r="BL50" s="367">
        <v>5.13</v>
      </c>
      <c r="BM50" s="367">
        <v>4.3499999999999996</v>
      </c>
      <c r="BN50" s="367">
        <v>7.8</v>
      </c>
      <c r="BO50" s="367" t="s">
        <v>430</v>
      </c>
      <c r="BP50" s="367" t="s">
        <v>430</v>
      </c>
      <c r="BQ50" s="367" t="s">
        <v>430</v>
      </c>
      <c r="BR50" s="368">
        <v>10762</v>
      </c>
      <c r="BS50" s="368">
        <v>3799</v>
      </c>
      <c r="BT50" s="367">
        <f>AP50/AV50*100</f>
        <v>105.30105679205913</v>
      </c>
      <c r="BU50" s="367">
        <f>AV50/BR50</f>
        <v>128.8639518676826</v>
      </c>
      <c r="BV50" s="367">
        <f t="shared" si="38"/>
        <v>135.69510314068017</v>
      </c>
      <c r="BW50" s="367">
        <f>(M50+BA50)/AV50*100</f>
        <v>8.2633210243606321</v>
      </c>
      <c r="BX50" s="367">
        <v>4</v>
      </c>
      <c r="BY50" s="367">
        <v>4.4400000000000004</v>
      </c>
      <c r="BZ50" s="367">
        <v>7.48</v>
      </c>
      <c r="CA50" s="367">
        <f t="shared" si="24"/>
        <v>3.04</v>
      </c>
      <c r="CB50" s="367">
        <v>8.2899999999999991</v>
      </c>
      <c r="CC50" s="367">
        <v>11.72</v>
      </c>
      <c r="CD50" s="367">
        <f t="shared" si="25"/>
        <v>3.4300000000000015</v>
      </c>
    </row>
    <row r="51" spans="1:82" s="213" customFormat="1" ht="10.5" customHeight="1">
      <c r="A51" s="211"/>
      <c r="B51" s="211"/>
      <c r="C51" s="211"/>
      <c r="D51" s="211"/>
      <c r="E51" s="211"/>
      <c r="F51" s="211"/>
      <c r="G51" s="211"/>
      <c r="H51" s="211"/>
      <c r="I51" s="211" t="s">
        <v>739</v>
      </c>
      <c r="J51" s="568">
        <v>200324.2</v>
      </c>
      <c r="K51" s="568">
        <v>1555.6</v>
      </c>
      <c r="L51" s="568">
        <f t="shared" si="6"/>
        <v>201879.80000000002</v>
      </c>
      <c r="M51" s="568">
        <v>17663.5</v>
      </c>
      <c r="N51" s="568">
        <f t="shared" si="7"/>
        <v>184216.30000000002</v>
      </c>
      <c r="O51" s="568">
        <v>37163</v>
      </c>
      <c r="P51" s="568">
        <v>91526.6</v>
      </c>
      <c r="Q51" s="568">
        <v>144956.29999999999</v>
      </c>
      <c r="R51" s="568">
        <v>1154015.6000000001</v>
      </c>
      <c r="S51" s="568">
        <f t="shared" si="8"/>
        <v>1298971.9000000001</v>
      </c>
      <c r="T51" s="568">
        <f t="shared" si="9"/>
        <v>1390498.5000000002</v>
      </c>
      <c r="U51" s="568">
        <v>605.6</v>
      </c>
      <c r="V51" s="568">
        <v>303661.2</v>
      </c>
      <c r="W51" s="568">
        <f t="shared" si="32"/>
        <v>329778.19999999995</v>
      </c>
      <c r="X51" s="568">
        <f t="shared" si="33"/>
        <v>1483793.8</v>
      </c>
      <c r="Y51" s="568">
        <v>1846366.0999999999</v>
      </c>
      <c r="Z51" s="211" t="s">
        <v>739</v>
      </c>
      <c r="AA51" s="294">
        <v>0</v>
      </c>
      <c r="AB51" s="568">
        <v>27305.4</v>
      </c>
      <c r="AC51" s="568">
        <v>1111969.8</v>
      </c>
      <c r="AD51" s="568">
        <f t="shared" si="12"/>
        <v>1139275.2</v>
      </c>
      <c r="AE51" s="294">
        <v>0</v>
      </c>
      <c r="AF51" s="568">
        <v>1863.6</v>
      </c>
      <c r="AG51" s="568">
        <v>21887.3</v>
      </c>
      <c r="AH51" s="568">
        <f t="shared" si="13"/>
        <v>23750.899999999998</v>
      </c>
      <c r="AI51" s="586">
        <v>28464</v>
      </c>
      <c r="AJ51" s="586">
        <v>280509.3</v>
      </c>
      <c r="AK51" s="586">
        <v>21067.200000000001</v>
      </c>
      <c r="AL51" s="586">
        <f t="shared" si="14"/>
        <v>301576.5</v>
      </c>
      <c r="AM51" s="586">
        <f t="shared" si="34"/>
        <v>28464</v>
      </c>
      <c r="AN51" s="586">
        <f t="shared" si="34"/>
        <v>309678.3</v>
      </c>
      <c r="AO51" s="586">
        <f t="shared" si="34"/>
        <v>1154924.3</v>
      </c>
      <c r="AP51" s="586">
        <f t="shared" si="34"/>
        <v>1464602.5999999999</v>
      </c>
      <c r="AQ51" s="211" t="s">
        <v>739</v>
      </c>
      <c r="AR51" s="568">
        <v>7529.2</v>
      </c>
      <c r="AS51" s="568">
        <v>65577.7</v>
      </c>
      <c r="AT51" s="568">
        <v>36130.199999999997</v>
      </c>
      <c r="AU51" s="568">
        <v>191.2</v>
      </c>
      <c r="AV51" s="568">
        <f>1390549-28.93</f>
        <v>1390520.07</v>
      </c>
      <c r="AW51" s="568">
        <v>9714.4</v>
      </c>
      <c r="AX51" s="568">
        <f t="shared" si="16"/>
        <v>1400234.47</v>
      </c>
      <c r="AY51" s="568">
        <f t="shared" si="45"/>
        <v>55553.261600000005</v>
      </c>
      <c r="AZ51" s="568">
        <f t="shared" si="35"/>
        <v>45620.557399999998</v>
      </c>
      <c r="BA51" s="586">
        <f>101175.8-1.981</f>
        <v>101173.819</v>
      </c>
      <c r="BB51" s="568">
        <v>3617124.8</v>
      </c>
      <c r="BC51" s="568">
        <f t="shared" si="41"/>
        <v>303053.61900000001</v>
      </c>
      <c r="BD51" s="297">
        <v>4126.8</v>
      </c>
      <c r="BE51" s="568">
        <v>24941</v>
      </c>
      <c r="BF51" s="568">
        <v>4861.7</v>
      </c>
      <c r="BG51" s="568">
        <v>276641.59999999998</v>
      </c>
      <c r="BH51" s="568">
        <f t="shared" si="19"/>
        <v>310571.09999999998</v>
      </c>
      <c r="BI51" s="211" t="s">
        <v>739</v>
      </c>
      <c r="BJ51" s="325">
        <v>-1.24</v>
      </c>
      <c r="BK51" s="325">
        <v>7.61</v>
      </c>
      <c r="BL51" s="325">
        <v>5.75</v>
      </c>
      <c r="BM51" s="325">
        <v>4.83</v>
      </c>
      <c r="BN51" s="325">
        <v>8.01</v>
      </c>
      <c r="BO51" s="325" t="s">
        <v>430</v>
      </c>
      <c r="BP51" s="325" t="s">
        <v>430</v>
      </c>
      <c r="BQ51" s="325" t="s">
        <v>430</v>
      </c>
      <c r="BR51" s="477">
        <v>10765</v>
      </c>
      <c r="BS51" s="477">
        <v>3799</v>
      </c>
      <c r="BT51" s="325">
        <f>AP51/AV51*100</f>
        <v>105.32768505815235</v>
      </c>
      <c r="BU51" s="325">
        <f>AV51/BR51</f>
        <v>129.17046632605667</v>
      </c>
      <c r="BV51" s="325">
        <f t="shared" si="38"/>
        <v>136.05226196005572</v>
      </c>
      <c r="BW51" s="325">
        <f>(M51+BA51)/AV51*100</f>
        <v>8.5462498214786642</v>
      </c>
      <c r="BX51" s="325">
        <v>4</v>
      </c>
      <c r="BY51" s="325">
        <v>4.4000000000000004</v>
      </c>
      <c r="BZ51" s="325">
        <v>7.45</v>
      </c>
      <c r="CA51" s="325">
        <f t="shared" si="24"/>
        <v>3.05</v>
      </c>
      <c r="CB51" s="325">
        <v>8.16</v>
      </c>
      <c r="CC51" s="325">
        <v>11.54</v>
      </c>
      <c r="CD51" s="325">
        <f t="shared" si="25"/>
        <v>3.379999999999999</v>
      </c>
    </row>
    <row r="52" spans="1:82" s="213" customFormat="1" ht="10.5" customHeight="1">
      <c r="A52" s="211"/>
      <c r="B52" s="211"/>
      <c r="C52" s="211"/>
      <c r="D52" s="211"/>
      <c r="E52" s="211"/>
      <c r="F52" s="211"/>
      <c r="G52" s="211"/>
      <c r="H52" s="211"/>
      <c r="I52" s="376" t="s">
        <v>748</v>
      </c>
      <c r="J52" s="562">
        <v>208632.6</v>
      </c>
      <c r="K52" s="562">
        <v>1558.5</v>
      </c>
      <c r="L52" s="562">
        <f t="shared" si="6"/>
        <v>210191.1</v>
      </c>
      <c r="M52" s="562">
        <v>17780.2</v>
      </c>
      <c r="N52" s="562">
        <f t="shared" si="7"/>
        <v>192410.9</v>
      </c>
      <c r="O52" s="562">
        <v>34485.699999999997</v>
      </c>
      <c r="P52" s="562">
        <v>93053.2</v>
      </c>
      <c r="Q52" s="562">
        <v>146855.9</v>
      </c>
      <c r="R52" s="562">
        <v>1160606.8</v>
      </c>
      <c r="S52" s="562">
        <f t="shared" si="8"/>
        <v>1307462.7</v>
      </c>
      <c r="T52" s="562">
        <f t="shared" si="9"/>
        <v>1400515.9</v>
      </c>
      <c r="U52" s="562">
        <v>567.9</v>
      </c>
      <c r="V52" s="562">
        <v>316061.40000000002</v>
      </c>
      <c r="W52" s="562">
        <f t="shared" si="32"/>
        <v>339834.7</v>
      </c>
      <c r="X52" s="562">
        <f t="shared" si="33"/>
        <v>1500441.5</v>
      </c>
      <c r="Y52" s="562">
        <v>1862739</v>
      </c>
      <c r="Z52" s="376" t="s">
        <v>748</v>
      </c>
      <c r="AA52" s="361">
        <v>0</v>
      </c>
      <c r="AB52" s="562">
        <v>26926.5</v>
      </c>
      <c r="AC52" s="562">
        <v>1116405.6000000001</v>
      </c>
      <c r="AD52" s="562">
        <f t="shared" si="12"/>
        <v>1143332.1000000001</v>
      </c>
      <c r="AE52" s="361">
        <v>0</v>
      </c>
      <c r="AF52" s="562">
        <v>1841.7</v>
      </c>
      <c r="AG52" s="562">
        <v>21533.9</v>
      </c>
      <c r="AH52" s="562">
        <f t="shared" si="13"/>
        <v>23375.600000000002</v>
      </c>
      <c r="AI52" s="566">
        <v>28761.599999999999</v>
      </c>
      <c r="AJ52" s="566">
        <v>282214.2</v>
      </c>
      <c r="AK52" s="566">
        <v>20873.900000000001</v>
      </c>
      <c r="AL52" s="566">
        <f t="shared" si="14"/>
        <v>303088.10000000003</v>
      </c>
      <c r="AM52" s="566">
        <f t="shared" si="34"/>
        <v>28761.599999999999</v>
      </c>
      <c r="AN52" s="566">
        <f t="shared" si="34"/>
        <v>310982.40000000002</v>
      </c>
      <c r="AO52" s="566">
        <f t="shared" si="34"/>
        <v>1158813.3999999999</v>
      </c>
      <c r="AP52" s="566">
        <f t="shared" si="34"/>
        <v>1469795.8000000003</v>
      </c>
      <c r="AQ52" s="376" t="s">
        <v>748</v>
      </c>
      <c r="AR52" s="562">
        <v>7533.6</v>
      </c>
      <c r="AS52" s="562">
        <v>69453.899999999994</v>
      </c>
      <c r="AT52" s="562">
        <v>37704.800000000003</v>
      </c>
      <c r="AU52" s="562">
        <v>20.7</v>
      </c>
      <c r="AV52" s="562">
        <f>1400566.4-29.14</f>
        <v>1400537.26</v>
      </c>
      <c r="AW52" s="562">
        <v>10670.3</v>
      </c>
      <c r="AX52" s="562">
        <f t="shared" si="16"/>
        <v>1411207.56</v>
      </c>
      <c r="AY52" s="562">
        <f t="shared" si="45"/>
        <v>55860.634000000005</v>
      </c>
      <c r="AZ52" s="562">
        <f t="shared" si="35"/>
        <v>49439.124199999991</v>
      </c>
      <c r="BA52" s="566">
        <f>105302.4-2.6418</f>
        <v>105299.7582</v>
      </c>
      <c r="BB52" s="562">
        <v>3681406.4</v>
      </c>
      <c r="BC52" s="562">
        <f t="shared" si="41"/>
        <v>315490.85820000002</v>
      </c>
      <c r="BD52" s="1190">
        <v>4126.8</v>
      </c>
      <c r="BE52" s="562">
        <v>25045.9</v>
      </c>
      <c r="BF52" s="562">
        <v>5093.7</v>
      </c>
      <c r="BG52" s="562">
        <v>278346.2</v>
      </c>
      <c r="BH52" s="562">
        <f t="shared" si="19"/>
        <v>312612.60000000003</v>
      </c>
      <c r="BI52" s="376" t="s">
        <v>748</v>
      </c>
      <c r="BJ52" s="367">
        <v>3.32</v>
      </c>
      <c r="BK52" s="367">
        <v>5.19</v>
      </c>
      <c r="BL52" s="367">
        <v>6.11</v>
      </c>
      <c r="BM52" s="367">
        <v>5.7</v>
      </c>
      <c r="BN52" s="367">
        <v>9.2200000000000006</v>
      </c>
      <c r="BO52" s="367" t="s">
        <v>430</v>
      </c>
      <c r="BP52" s="367" t="s">
        <v>430</v>
      </c>
      <c r="BQ52" s="367" t="s">
        <v>430</v>
      </c>
      <c r="BR52" s="368">
        <v>10767</v>
      </c>
      <c r="BS52" s="368">
        <v>3799</v>
      </c>
      <c r="BT52" s="367">
        <f>AP52/AV52*100</f>
        <v>104.94514083830946</v>
      </c>
      <c r="BU52" s="367">
        <f>AV52/BR52</f>
        <v>130.07683291538962</v>
      </c>
      <c r="BV52" s="367">
        <f t="shared" si="38"/>
        <v>136.5093155010681</v>
      </c>
      <c r="BW52" s="367">
        <f>(M52+BA52)/AV52*100</f>
        <v>8.7880531075624511</v>
      </c>
      <c r="BX52" s="367">
        <v>4</v>
      </c>
      <c r="BY52" s="367">
        <v>4.3600000000000003</v>
      </c>
      <c r="BZ52" s="367">
        <v>7.4</v>
      </c>
      <c r="CA52" s="367">
        <f t="shared" si="24"/>
        <v>3.04</v>
      </c>
      <c r="CB52" s="367">
        <v>8.06</v>
      </c>
      <c r="CC52" s="367">
        <v>11.48</v>
      </c>
      <c r="CD52" s="367">
        <f t="shared" si="25"/>
        <v>3.42</v>
      </c>
    </row>
    <row r="53" spans="1:82" s="213" customFormat="1" ht="10.5" customHeight="1" thickBot="1">
      <c r="A53" s="211"/>
      <c r="B53" s="211"/>
      <c r="C53" s="211"/>
      <c r="D53" s="211"/>
      <c r="E53" s="211"/>
      <c r="F53" s="211"/>
      <c r="G53" s="211"/>
      <c r="H53" s="211"/>
      <c r="I53" s="1011" t="s">
        <v>749</v>
      </c>
      <c r="J53" s="1083">
        <v>219292.79999999999</v>
      </c>
      <c r="K53" s="1083">
        <v>1562</v>
      </c>
      <c r="L53" s="1083">
        <f t="shared" si="6"/>
        <v>220854.8</v>
      </c>
      <c r="M53" s="1083">
        <v>19647.099999999999</v>
      </c>
      <c r="N53" s="1083">
        <f t="shared" si="7"/>
        <v>201207.69999999998</v>
      </c>
      <c r="O53" s="1083">
        <v>34630.6</v>
      </c>
      <c r="P53" s="1083">
        <v>95312.7</v>
      </c>
      <c r="Q53" s="1083">
        <v>151795</v>
      </c>
      <c r="R53" s="1083">
        <v>1172766.2</v>
      </c>
      <c r="S53" s="1083">
        <f t="shared" si="8"/>
        <v>1324561.2</v>
      </c>
      <c r="T53" s="1083">
        <f t="shared" si="9"/>
        <v>1419873.9</v>
      </c>
      <c r="U53" s="1083">
        <v>506.5</v>
      </c>
      <c r="V53" s="1083">
        <v>327852.5</v>
      </c>
      <c r="W53" s="1083">
        <f t="shared" si="32"/>
        <v>353509.19999999995</v>
      </c>
      <c r="X53" s="1083">
        <f t="shared" si="33"/>
        <v>1526275.4</v>
      </c>
      <c r="Y53" s="1083">
        <v>1891599.0699999998</v>
      </c>
      <c r="Z53" s="1011" t="s">
        <v>749</v>
      </c>
      <c r="AA53" s="835">
        <v>0</v>
      </c>
      <c r="AB53" s="1083">
        <v>28597</v>
      </c>
      <c r="AC53" s="1083">
        <v>1122874</v>
      </c>
      <c r="AD53" s="1083">
        <f t="shared" si="12"/>
        <v>1151471</v>
      </c>
      <c r="AE53" s="835">
        <v>0</v>
      </c>
      <c r="AF53" s="1083">
        <v>1799.4</v>
      </c>
      <c r="AG53" s="1083">
        <v>22418.799999999999</v>
      </c>
      <c r="AH53" s="1083">
        <f t="shared" si="13"/>
        <v>24218.2</v>
      </c>
      <c r="AI53" s="1561">
        <v>28561.1</v>
      </c>
      <c r="AJ53" s="1561">
        <v>291711</v>
      </c>
      <c r="AK53" s="1561">
        <v>20999.8</v>
      </c>
      <c r="AL53" s="1561">
        <f t="shared" si="14"/>
        <v>312710.8</v>
      </c>
      <c r="AM53" s="1561">
        <f t="shared" si="34"/>
        <v>28561.1</v>
      </c>
      <c r="AN53" s="1561">
        <f t="shared" si="34"/>
        <v>322107.40000000002</v>
      </c>
      <c r="AO53" s="1561">
        <f t="shared" si="34"/>
        <v>1166292.6000000001</v>
      </c>
      <c r="AP53" s="1561">
        <f t="shared" si="34"/>
        <v>1488400</v>
      </c>
      <c r="AQ53" s="1011" t="s">
        <v>749</v>
      </c>
      <c r="AR53" s="1083">
        <v>7523.1</v>
      </c>
      <c r="AS53" s="1083">
        <v>71210.399999999994</v>
      </c>
      <c r="AT53" s="1083">
        <v>37132</v>
      </c>
      <c r="AU53" s="1083">
        <v>38</v>
      </c>
      <c r="AV53" s="1083">
        <f>1419924.4-29.55</f>
        <v>1419894.8499999999</v>
      </c>
      <c r="AW53" s="1083">
        <v>10175.5</v>
      </c>
      <c r="AX53" s="1083">
        <f t="shared" si="16"/>
        <v>1430070.3499999999</v>
      </c>
      <c r="AY53" s="1083">
        <f t="shared" si="45"/>
        <v>56009.378799999999</v>
      </c>
      <c r="AZ53" s="1083">
        <f t="shared" si="35"/>
        <v>50478.262599999995</v>
      </c>
      <c r="BA53" s="1561">
        <f>106491.2-3.5586</f>
        <v>106487.64139999999</v>
      </c>
      <c r="BB53" s="1083">
        <v>3752633.9</v>
      </c>
      <c r="BC53" s="1083">
        <f t="shared" si="41"/>
        <v>327342.44140000001</v>
      </c>
      <c r="BD53" s="1562">
        <v>4126.8</v>
      </c>
      <c r="BE53" s="1083">
        <v>25117.200000000001</v>
      </c>
      <c r="BF53" s="1083">
        <v>6701.2</v>
      </c>
      <c r="BG53" s="1083">
        <v>287838.40000000002</v>
      </c>
      <c r="BH53" s="1083">
        <f t="shared" si="19"/>
        <v>323783.60000000003</v>
      </c>
      <c r="BI53" s="1011" t="s">
        <v>749</v>
      </c>
      <c r="BJ53" s="955">
        <v>9.01</v>
      </c>
      <c r="BK53" s="955">
        <v>5.36</v>
      </c>
      <c r="BL53" s="955">
        <v>6.79</v>
      </c>
      <c r="BM53" s="955">
        <v>7.07</v>
      </c>
      <c r="BN53" s="955">
        <v>11.1</v>
      </c>
      <c r="BO53" s="955" t="s">
        <v>430</v>
      </c>
      <c r="BP53" s="955" t="s">
        <v>430</v>
      </c>
      <c r="BQ53" s="955" t="s">
        <v>430</v>
      </c>
      <c r="BR53" s="1480">
        <v>10768</v>
      </c>
      <c r="BS53" s="1480">
        <v>3799</v>
      </c>
      <c r="BT53" s="955">
        <f>AP53/AV53*100</f>
        <v>104.82466360097018</v>
      </c>
      <c r="BU53" s="955">
        <f>AV53/BR53</f>
        <v>131.86244892273402</v>
      </c>
      <c r="BV53" s="955">
        <f t="shared" si="38"/>
        <v>138.22436849925705</v>
      </c>
      <c r="BW53" s="955">
        <f>(M53+BA53)/AV53*100</f>
        <v>8.883386076088664</v>
      </c>
      <c r="BX53" s="955">
        <v>4</v>
      </c>
      <c r="BY53" s="955">
        <v>4.1399999999999997</v>
      </c>
      <c r="BZ53" s="955">
        <v>7.4</v>
      </c>
      <c r="CA53" s="955">
        <f t="shared" si="24"/>
        <v>3.2600000000000007</v>
      </c>
      <c r="CB53" s="955">
        <v>7.93</v>
      </c>
      <c r="CC53" s="955">
        <v>11.28</v>
      </c>
      <c r="CD53" s="955">
        <f t="shared" si="25"/>
        <v>3.3499999999999996</v>
      </c>
    </row>
    <row r="54" spans="1:82" s="9" customFormat="1" ht="12" customHeight="1">
      <c r="I54" s="549" t="s">
        <v>1797</v>
      </c>
      <c r="J54" s="1718" t="s">
        <v>1883</v>
      </c>
      <c r="K54" s="1718"/>
      <c r="L54" s="1718"/>
      <c r="M54" s="1718"/>
      <c r="N54" s="1718"/>
      <c r="O54" s="1718"/>
      <c r="P54" s="1718"/>
      <c r="Q54" s="1718"/>
      <c r="R54" s="1520" t="s">
        <v>1801</v>
      </c>
      <c r="S54" s="1717" t="s">
        <v>218</v>
      </c>
      <c r="T54" s="1717"/>
      <c r="U54" s="1717"/>
      <c r="V54" s="1717"/>
      <c r="W54" s="1717"/>
      <c r="X54" s="1717"/>
      <c r="Y54" s="1717"/>
      <c r="Z54" s="551" t="s">
        <v>31</v>
      </c>
      <c r="AA54" s="1775" t="s">
        <v>2549</v>
      </c>
      <c r="AB54" s="1775"/>
      <c r="AC54" s="1775"/>
      <c r="AD54" s="1775"/>
      <c r="AE54" s="1775"/>
      <c r="AF54" s="1775"/>
      <c r="AG54" s="1775"/>
      <c r="AH54" s="1775"/>
      <c r="AI54" s="552" t="s">
        <v>1802</v>
      </c>
      <c r="AJ54" s="1719" t="s">
        <v>1611</v>
      </c>
      <c r="AK54" s="1719"/>
      <c r="AL54" s="1719"/>
      <c r="AM54" s="1719"/>
      <c r="AN54" s="1719"/>
      <c r="AO54" s="1719"/>
      <c r="AP54" s="1719"/>
      <c r="AQ54" s="553"/>
      <c r="AR54" s="554"/>
      <c r="AS54" s="554"/>
      <c r="AT54" s="554"/>
      <c r="AU54" s="554"/>
      <c r="AV54" s="554"/>
      <c r="AW54" s="554"/>
      <c r="AX54" s="294"/>
      <c r="AY54" s="555" t="s">
        <v>217</v>
      </c>
      <c r="AZ54" s="550" t="s">
        <v>1764</v>
      </c>
      <c r="BA54" s="548"/>
      <c r="BB54" s="548"/>
      <c r="BC54" s="548"/>
      <c r="BD54" s="548"/>
      <c r="BE54" s="548"/>
      <c r="BF54" s="548"/>
      <c r="BG54" s="548"/>
      <c r="BH54" s="548"/>
      <c r="BI54" s="556" t="s">
        <v>839</v>
      </c>
      <c r="BJ54" s="1718" t="s">
        <v>1720</v>
      </c>
      <c r="BK54" s="1718"/>
      <c r="BL54" s="1718"/>
      <c r="BM54" s="1718"/>
      <c r="BN54" s="1718"/>
      <c r="BO54" s="1718"/>
      <c r="BP54" s="1718"/>
      <c r="BQ54" s="1718"/>
      <c r="BR54" s="1718"/>
      <c r="BS54" s="548"/>
      <c r="BT54" s="610" t="s">
        <v>1345</v>
      </c>
      <c r="BU54" s="550" t="s">
        <v>1346</v>
      </c>
      <c r="BV54" s="550"/>
      <c r="BW54" s="550"/>
      <c r="BX54" s="550"/>
      <c r="BY54" s="550"/>
      <c r="BZ54" s="550"/>
      <c r="CA54" s="550"/>
      <c r="CB54" s="548"/>
      <c r="CC54" s="548"/>
      <c r="CD54" s="548"/>
    </row>
    <row r="55" spans="1:82" s="9" customFormat="1" ht="12" customHeight="1">
      <c r="I55" s="557"/>
      <c r="J55" s="1716" t="s">
        <v>2537</v>
      </c>
      <c r="K55" s="1716"/>
      <c r="L55" s="1716"/>
      <c r="M55" s="1716"/>
      <c r="N55" s="1716"/>
      <c r="O55" s="1716"/>
      <c r="P55" s="1716"/>
      <c r="Q55" s="1716"/>
      <c r="R55" s="557"/>
      <c r="S55" s="1717" t="s">
        <v>1581</v>
      </c>
      <c r="T55" s="1717"/>
      <c r="U55" s="557"/>
      <c r="V55" s="557"/>
      <c r="W55" s="557"/>
      <c r="X55" s="557"/>
      <c r="Y55" s="1425"/>
      <c r="Z55" s="558"/>
      <c r="AA55" s="862"/>
      <c r="AB55" s="862"/>
      <c r="AC55" s="862"/>
      <c r="AD55" s="862"/>
      <c r="AE55" s="862"/>
      <c r="AF55" s="862"/>
      <c r="AG55" s="862"/>
      <c r="AH55" s="862"/>
      <c r="AI55" s="550"/>
      <c r="AJ55" s="1776" t="s">
        <v>1633</v>
      </c>
      <c r="AK55" s="1776"/>
      <c r="AL55" s="1776"/>
      <c r="AM55" s="1776"/>
      <c r="AN55" s="1776"/>
      <c r="AO55" s="1776"/>
      <c r="AP55" s="1776"/>
      <c r="AQ55" s="559"/>
      <c r="AR55" s="1521"/>
      <c r="AS55" s="554"/>
      <c r="AT55" s="554"/>
      <c r="AU55" s="554"/>
      <c r="AV55" s="554"/>
      <c r="AW55" s="568"/>
      <c r="AX55" s="568"/>
      <c r="AY55" s="557"/>
      <c r="AZ55" s="1717" t="s">
        <v>2046</v>
      </c>
      <c r="BA55" s="1717"/>
      <c r="BB55" s="1717"/>
      <c r="BC55" s="1717"/>
      <c r="BD55" s="1717"/>
      <c r="BE55" s="1717"/>
      <c r="BF55" s="1717"/>
      <c r="BG55" s="1717"/>
      <c r="BH55" s="1717"/>
      <c r="BI55" s="557"/>
      <c r="BJ55" s="1717" t="s">
        <v>1721</v>
      </c>
      <c r="BK55" s="1717"/>
      <c r="BL55" s="1717"/>
      <c r="BM55" s="1717"/>
      <c r="BN55" s="1717"/>
      <c r="BO55" s="1717"/>
      <c r="BP55" s="1717"/>
      <c r="BQ55" s="1717"/>
      <c r="BR55" s="1717"/>
      <c r="BS55" s="557"/>
      <c r="BT55" s="557"/>
      <c r="BU55" s="557" t="s">
        <v>1723</v>
      </c>
      <c r="BV55" s="554"/>
      <c r="BW55" s="554"/>
      <c r="BX55" s="554"/>
      <c r="BY55" s="554"/>
      <c r="BZ55" s="554"/>
      <c r="CA55" s="557"/>
      <c r="CB55" s="47"/>
      <c r="CC55" s="557"/>
      <c r="CD55" s="557"/>
    </row>
    <row r="56" spans="1:82" s="9" customFormat="1" ht="12" customHeight="1">
      <c r="I56" s="548"/>
      <c r="J56" s="1717" t="s">
        <v>1718</v>
      </c>
      <c r="K56" s="1717"/>
      <c r="L56" s="1717"/>
      <c r="M56" s="1717"/>
      <c r="N56" s="1717"/>
      <c r="O56" s="1717"/>
      <c r="P56" s="1717"/>
      <c r="Q56" s="1717"/>
      <c r="R56" s="1521"/>
      <c r="S56" s="1521"/>
      <c r="T56" s="1521"/>
      <c r="U56" s="1521"/>
      <c r="V56" s="1521"/>
      <c r="W56" s="1442"/>
      <c r="X56" s="1521"/>
      <c r="Y56" s="1425"/>
      <c r="Z56" s="553"/>
      <c r="AA56" s="1777"/>
      <c r="AB56" s="1777"/>
      <c r="AC56" s="1777"/>
      <c r="AD56" s="1777"/>
      <c r="AE56" s="1777"/>
      <c r="AF56" s="1777"/>
      <c r="AG56" s="1777"/>
      <c r="AH56" s="1777"/>
      <c r="AI56" s="554"/>
      <c r="AJ56" s="586"/>
      <c r="AK56" s="586"/>
      <c r="AL56" s="554"/>
      <c r="AM56" s="554"/>
      <c r="AN56" s="554"/>
      <c r="AO56" s="554"/>
      <c r="AP56" s="559"/>
      <c r="AQ56" s="559"/>
      <c r="AR56" s="554"/>
      <c r="AS56" s="554"/>
      <c r="AT56" s="554"/>
      <c r="AU56" s="554"/>
      <c r="AV56" s="554"/>
      <c r="AW56" s="554"/>
      <c r="AX56" s="554"/>
      <c r="AY56" s="560"/>
      <c r="AZ56" s="1717" t="s">
        <v>1763</v>
      </c>
      <c r="BA56" s="1717"/>
      <c r="BB56" s="1717"/>
      <c r="BC56" s="1717"/>
      <c r="BD56" s="1717"/>
      <c r="BE56" s="1717"/>
      <c r="BF56" s="1717"/>
      <c r="BG56" s="1717"/>
      <c r="BH56" s="1717"/>
      <c r="BI56" s="557"/>
      <c r="BJ56" s="557" t="s">
        <v>1722</v>
      </c>
      <c r="BK56" s="557"/>
      <c r="BL56" s="557"/>
      <c r="BM56" s="557"/>
      <c r="BN56" s="557"/>
      <c r="BO56" s="557"/>
      <c r="BP56" s="557"/>
      <c r="BQ56" s="557"/>
      <c r="BR56" s="81"/>
      <c r="BS56" s="554"/>
      <c r="BT56" s="557"/>
      <c r="BU56" s="607" t="s">
        <v>2127</v>
      </c>
      <c r="BV56" s="607"/>
      <c r="BW56" s="554"/>
      <c r="BX56" s="554"/>
      <c r="BY56" s="554"/>
      <c r="BZ56" s="554"/>
      <c r="CA56" s="557"/>
      <c r="CB56" s="557"/>
      <c r="CC56" s="557"/>
      <c r="CD56" s="557"/>
    </row>
    <row r="57" spans="1:82" s="9" customFormat="1" ht="12" customHeight="1">
      <c r="I57" s="549" t="s">
        <v>1796</v>
      </c>
      <c r="J57" s="550" t="s">
        <v>1636</v>
      </c>
      <c r="K57" s="550"/>
      <c r="L57" s="550"/>
      <c r="M57" s="548"/>
      <c r="N57" s="548"/>
      <c r="O57" s="548"/>
      <c r="Q57" s="1194"/>
      <c r="R57" s="1194"/>
      <c r="S57" s="1194"/>
      <c r="T57" s="548"/>
      <c r="U57" s="557"/>
      <c r="V57" s="557"/>
      <c r="W57" s="1442"/>
      <c r="X57" s="557"/>
      <c r="Y57" s="1425"/>
      <c r="Z57" s="553"/>
      <c r="AA57" s="1521"/>
      <c r="AB57" s="560"/>
      <c r="AC57" s="557"/>
      <c r="AD57" s="557"/>
      <c r="AE57" s="557"/>
      <c r="AF57" s="557"/>
      <c r="AG57" s="557"/>
      <c r="AH57" s="557"/>
      <c r="AI57" s="557"/>
      <c r="AJ57" s="586"/>
      <c r="AK57" s="586"/>
      <c r="AL57" s="557"/>
      <c r="AM57" s="557"/>
      <c r="AN57" s="557"/>
      <c r="AO57" s="557"/>
      <c r="AP57" s="557"/>
      <c r="AQ57" s="557"/>
      <c r="AR57" s="557"/>
      <c r="AS57" s="557"/>
      <c r="AT57" s="557"/>
      <c r="AU57" s="557"/>
      <c r="AV57" s="557"/>
      <c r="AW57" s="557"/>
      <c r="AX57" s="557"/>
      <c r="AY57" s="557"/>
      <c r="AZ57" s="1775" t="s">
        <v>2124</v>
      </c>
      <c r="BA57" s="1775"/>
      <c r="BB57" s="1775"/>
      <c r="BC57" s="1775"/>
      <c r="BD57" s="1775"/>
      <c r="BE57" s="1775"/>
      <c r="BF57" s="1775"/>
      <c r="BG57" s="1775"/>
      <c r="BH57" s="1775"/>
      <c r="BI57" s="557"/>
      <c r="BJ57" s="1778"/>
      <c r="BK57" s="1778"/>
      <c r="BL57" s="557"/>
      <c r="BM57" s="557"/>
      <c r="BN57" s="557"/>
      <c r="BO57" s="557"/>
      <c r="BP57" s="557"/>
      <c r="BQ57" s="557"/>
      <c r="BR57" s="81"/>
      <c r="BS57" s="557"/>
      <c r="BT57" s="549" t="s">
        <v>16</v>
      </c>
      <c r="BU57" s="560" t="s">
        <v>1636</v>
      </c>
      <c r="BV57" s="8"/>
      <c r="BW57" s="8"/>
      <c r="BX57" s="557"/>
      <c r="BY57" s="557"/>
      <c r="BZ57" s="557"/>
      <c r="CA57" s="557"/>
      <c r="CB57" s="557"/>
      <c r="CC57" s="557"/>
      <c r="CD57" s="557"/>
    </row>
    <row r="58" spans="1:8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W58" s="1442"/>
      <c r="Y58" s="1425"/>
      <c r="Z58" s="553"/>
      <c r="AB58" s="294"/>
      <c r="AY58" s="9"/>
      <c r="AZ58" s="9"/>
      <c r="BA58" s="9"/>
      <c r="BB58" s="9"/>
      <c r="BC58" s="9"/>
      <c r="BD58" s="9"/>
      <c r="BE58" s="9"/>
      <c r="BF58" s="9"/>
      <c r="BG58" s="9"/>
      <c r="BH58" s="9"/>
      <c r="BU58" s="9"/>
      <c r="BV58" s="9"/>
      <c r="BW58" s="9"/>
      <c r="BX58" s="9"/>
    </row>
    <row r="59" spans="1:82" ht="12.75">
      <c r="A59" s="9"/>
      <c r="B59" s="9"/>
      <c r="C59" s="9"/>
      <c r="D59" s="9"/>
      <c r="E59" s="9"/>
      <c r="F59" s="9"/>
      <c r="G59" s="9"/>
      <c r="H59" s="9"/>
      <c r="I59" s="211"/>
      <c r="J59" s="568"/>
      <c r="K59" s="568"/>
      <c r="L59" s="568"/>
      <c r="M59" s="568"/>
      <c r="N59" s="568"/>
      <c r="O59" s="568"/>
      <c r="P59" s="568"/>
      <c r="Q59" s="568"/>
      <c r="R59" s="568"/>
      <c r="S59" s="568"/>
      <c r="T59" s="568"/>
      <c r="U59" s="568"/>
      <c r="V59" s="568"/>
      <c r="W59" s="1442"/>
      <c r="X59" s="294"/>
      <c r="Y59" s="1425"/>
      <c r="Z59" s="553"/>
      <c r="AA59" s="294"/>
      <c r="AB59" s="568"/>
      <c r="AC59" s="695"/>
      <c r="AD59" s="294"/>
      <c r="AE59" s="294"/>
      <c r="AF59" s="568"/>
      <c r="AG59" s="568"/>
      <c r="AH59" s="294"/>
      <c r="AI59" s="586"/>
      <c r="AJ59" s="586"/>
      <c r="AK59" s="586"/>
      <c r="AL59" s="546"/>
      <c r="AM59" s="294"/>
      <c r="AN59" s="294"/>
      <c r="AO59" s="294"/>
      <c r="AP59" s="294"/>
      <c r="AQ59" s="211"/>
      <c r="AR59" s="568"/>
      <c r="AS59" s="568"/>
      <c r="AT59" s="568"/>
      <c r="AU59" s="568"/>
      <c r="AV59" s="568"/>
      <c r="AW59" s="568"/>
      <c r="AX59" s="294"/>
      <c r="AY59" s="294"/>
      <c r="AZ59" s="294"/>
      <c r="BA59" s="568"/>
      <c r="BB59" s="568"/>
      <c r="BC59" s="293"/>
      <c r="BD59" s="568"/>
      <c r="BE59" s="568"/>
      <c r="BF59" s="568"/>
      <c r="BG59" s="568"/>
      <c r="BH59" s="294"/>
      <c r="BI59" s="211"/>
      <c r="BJ59" s="325"/>
      <c r="BK59" s="325"/>
      <c r="BL59" s="325"/>
      <c r="BM59" s="325"/>
      <c r="BN59" s="325"/>
      <c r="BO59" s="325"/>
      <c r="BP59" s="325"/>
      <c r="BQ59" s="477"/>
      <c r="BR59" s="477"/>
      <c r="BS59" s="477"/>
      <c r="BT59" s="325"/>
      <c r="BU59" s="325"/>
      <c r="BV59" s="325"/>
      <c r="BW59" s="325"/>
      <c r="BX59" s="325"/>
      <c r="BY59" s="1388"/>
      <c r="BZ59" s="1388"/>
      <c r="CA59" s="1388"/>
      <c r="CB59" s="1388"/>
      <c r="CC59" s="325"/>
      <c r="CD59" s="325"/>
    </row>
    <row r="60" spans="1:8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186"/>
      <c r="M60" s="1194"/>
      <c r="N60" s="1194"/>
      <c r="O60" s="9"/>
      <c r="P60" s="9"/>
      <c r="Q60" s="9"/>
      <c r="R60" s="9"/>
      <c r="S60" s="568"/>
      <c r="T60" s="9"/>
      <c r="U60" s="9"/>
      <c r="V60" s="9"/>
      <c r="W60" s="1442"/>
      <c r="X60" s="9"/>
      <c r="Y60" s="1425"/>
      <c r="Z60" s="553"/>
      <c r="AA60" s="9"/>
      <c r="AB60" s="9"/>
      <c r="AC60" s="9"/>
      <c r="AD60" s="206"/>
      <c r="AE60" s="9"/>
      <c r="AF60" s="9"/>
      <c r="AG60" s="9"/>
      <c r="AH60" s="9"/>
      <c r="AI60" s="9"/>
      <c r="AJ60" s="9"/>
      <c r="AK60" s="9"/>
      <c r="AL60" s="9"/>
      <c r="AM60" s="9"/>
      <c r="AN60" s="186"/>
      <c r="AO60" s="186"/>
      <c r="AP60" s="186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186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206"/>
      <c r="CB60" s="9"/>
      <c r="CC60" s="9"/>
      <c r="CD60" s="9"/>
    </row>
    <row r="61" spans="1:82">
      <c r="I61" s="9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442"/>
      <c r="X61" s="186"/>
      <c r="Y61" s="1425"/>
      <c r="Z61" s="553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044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6"/>
      <c r="BR61" s="186"/>
      <c r="BS61" s="186"/>
      <c r="BT61" s="186"/>
      <c r="BU61" s="186"/>
      <c r="BV61" s="186"/>
      <c r="BW61" s="186"/>
      <c r="BX61" s="186"/>
      <c r="BY61" s="186"/>
      <c r="BZ61" s="186"/>
      <c r="CA61" s="186"/>
      <c r="CB61" s="186"/>
      <c r="CC61" s="186"/>
      <c r="CD61" s="186"/>
    </row>
    <row r="62" spans="1:82">
      <c r="I62" s="9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442"/>
      <c r="X62" s="186"/>
      <c r="Y62" s="1425"/>
      <c r="Z62" s="553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20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9"/>
      <c r="BF62" s="9"/>
      <c r="BG62" s="9"/>
      <c r="BH62" s="9"/>
      <c r="BI62" s="206"/>
      <c r="BJ62" s="9"/>
      <c r="BK62" s="9"/>
      <c r="BL62" s="9"/>
      <c r="BM62" s="9"/>
      <c r="BN62" s="9"/>
      <c r="BO62" s="9"/>
      <c r="BP62" s="9"/>
      <c r="BQ62" s="9"/>
      <c r="BR62" s="1050"/>
      <c r="BS62" s="9"/>
      <c r="BT62" s="9"/>
      <c r="BU62" s="9"/>
      <c r="BV62" s="9"/>
      <c r="BW62" s="9"/>
      <c r="BX62" s="9"/>
      <c r="BY62" s="9"/>
      <c r="BZ62" s="9"/>
      <c r="CA62" s="206"/>
      <c r="CB62" s="9"/>
      <c r="CC62" s="9"/>
      <c r="CD62" s="9"/>
    </row>
    <row r="63" spans="1:82"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1425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105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225"/>
      <c r="BC63" s="48"/>
      <c r="BD63" s="48"/>
      <c r="BE63" s="48"/>
      <c r="BF63" s="48"/>
      <c r="BG63" s="48"/>
      <c r="BH63" s="48"/>
      <c r="BI63" s="105"/>
      <c r="BJ63" s="48"/>
      <c r="BK63" s="48"/>
      <c r="BL63" s="48"/>
      <c r="BM63" s="48"/>
      <c r="BN63" s="48"/>
      <c r="BO63" s="48"/>
      <c r="BP63" s="48"/>
      <c r="BQ63" s="48"/>
      <c r="BR63" s="1050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</row>
    <row r="64" spans="1:82">
      <c r="AE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T64" s="105"/>
      <c r="BU64" s="105"/>
      <c r="BV64" s="105"/>
      <c r="BW64" s="105"/>
    </row>
    <row r="65" spans="10:82">
      <c r="AM65" s="48"/>
      <c r="AY65" s="9"/>
      <c r="AZ65" s="9"/>
      <c r="BA65" s="9"/>
      <c r="BB65" s="9"/>
      <c r="BC65" s="9"/>
      <c r="BD65" s="9"/>
      <c r="BE65" s="9"/>
      <c r="BF65" s="9"/>
      <c r="BG65" s="9"/>
      <c r="BH65" s="9"/>
    </row>
    <row r="66" spans="10:82">
      <c r="AD66" s="48"/>
      <c r="AE66" s="48"/>
      <c r="AY66" s="9"/>
      <c r="AZ66" s="9"/>
      <c r="BA66" s="9"/>
      <c r="BB66" s="9"/>
      <c r="BC66" s="9"/>
      <c r="BD66" s="9"/>
      <c r="BE66" s="9"/>
      <c r="BF66" s="9"/>
      <c r="BG66" s="9"/>
      <c r="BH66" s="9"/>
    </row>
    <row r="67" spans="10:82">
      <c r="AD67" s="48"/>
      <c r="AE67" s="48"/>
      <c r="AY67" s="9"/>
      <c r="AZ67" s="9"/>
      <c r="BA67" s="9"/>
      <c r="BB67" s="9"/>
      <c r="BC67" s="9"/>
      <c r="BD67" s="9"/>
      <c r="BE67" s="9"/>
      <c r="BF67" s="9"/>
      <c r="BG67" s="9"/>
      <c r="BH67" s="9"/>
    </row>
    <row r="68" spans="10:82">
      <c r="AD68" s="48"/>
      <c r="AE68" s="48"/>
      <c r="AY68" s="9"/>
      <c r="AZ68" s="9"/>
      <c r="BA68" s="9"/>
      <c r="BB68" s="9"/>
      <c r="BC68" s="9"/>
      <c r="BD68" s="9"/>
      <c r="BE68" s="9"/>
      <c r="BF68" s="9"/>
      <c r="BG68" s="9"/>
      <c r="BH68" s="9"/>
    </row>
    <row r="69" spans="10:82">
      <c r="AD69" s="48"/>
      <c r="AE69" s="48"/>
      <c r="AY69" s="9"/>
      <c r="AZ69" s="9"/>
      <c r="BA69" s="9"/>
      <c r="BB69" s="9"/>
      <c r="BC69" s="9"/>
      <c r="BD69" s="9"/>
      <c r="BE69" s="9"/>
      <c r="BF69" s="9"/>
      <c r="BG69" s="9"/>
      <c r="BH69" s="9"/>
    </row>
    <row r="70" spans="10:82">
      <c r="AD70" s="48"/>
      <c r="AE70" s="48"/>
      <c r="AY70" s="9"/>
      <c r="AZ70" s="9"/>
      <c r="BA70" s="9"/>
      <c r="BB70" s="9"/>
      <c r="BC70" s="9"/>
      <c r="BD70" s="9"/>
      <c r="BE70" s="9"/>
      <c r="BF70" s="9"/>
      <c r="BG70" s="9"/>
      <c r="BH70" s="9"/>
    </row>
    <row r="71" spans="10:82">
      <c r="AD71" s="48"/>
      <c r="AE71" s="48"/>
      <c r="AY71" s="9"/>
      <c r="AZ71" s="9"/>
      <c r="BA71" s="9"/>
      <c r="BB71" s="9"/>
      <c r="BC71" s="9"/>
      <c r="BD71" s="9"/>
      <c r="BE71" s="9"/>
      <c r="BF71" s="9"/>
      <c r="BG71" s="9"/>
      <c r="BH71" s="9"/>
    </row>
    <row r="72" spans="10:82">
      <c r="AD72" s="48"/>
      <c r="AE72" s="48"/>
      <c r="AY72" s="9"/>
      <c r="AZ72" s="9"/>
      <c r="BA72" s="9"/>
      <c r="BB72" s="9"/>
      <c r="BC72" s="9"/>
      <c r="BD72" s="9"/>
      <c r="BE72" s="9"/>
      <c r="BF72" s="9"/>
      <c r="BG72" s="9"/>
      <c r="BH72" s="9"/>
    </row>
    <row r="73" spans="10:82"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</row>
    <row r="74" spans="10:82"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</row>
    <row r="75" spans="10:82"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</row>
    <row r="76" spans="10:82"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</row>
    <row r="77" spans="10:82"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</row>
    <row r="78" spans="10:82"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</row>
    <row r="79" spans="10:82" ht="12.75" customHeight="1"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</row>
    <row r="80" spans="10:82" ht="12" customHeight="1"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</row>
    <row r="81" spans="10:82" ht="15" customHeight="1"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</row>
    <row r="82" spans="10:82" ht="12" customHeight="1"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</row>
    <row r="83" spans="10:82" ht="12" customHeight="1"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</row>
    <row r="84" spans="10:82">
      <c r="AD84" s="48"/>
      <c r="AE84" s="48"/>
      <c r="AY84" s="9"/>
      <c r="AZ84" s="9"/>
      <c r="BA84" s="9"/>
      <c r="BB84" s="9"/>
      <c r="BC84" s="9"/>
      <c r="BD84" s="9"/>
      <c r="BE84" s="9"/>
      <c r="BF84" s="9"/>
      <c r="BG84" s="9"/>
      <c r="BH84" s="9"/>
    </row>
    <row r="85" spans="10:82">
      <c r="AD85" s="48"/>
      <c r="AE85" s="48"/>
      <c r="AY85" s="9"/>
      <c r="AZ85" s="9"/>
      <c r="BA85" s="9"/>
      <c r="BB85" s="9"/>
      <c r="BC85" s="9"/>
      <c r="BD85" s="9"/>
      <c r="BE85" s="9"/>
      <c r="BF85" s="9"/>
      <c r="BG85" s="9"/>
      <c r="BH85" s="9"/>
    </row>
    <row r="86" spans="10:82">
      <c r="AD86" s="48"/>
      <c r="AE86" s="48"/>
      <c r="AY86" s="9"/>
      <c r="AZ86" s="9"/>
      <c r="BA86" s="9"/>
      <c r="BB86" s="9"/>
      <c r="BC86" s="9"/>
      <c r="BD86" s="9"/>
      <c r="BE86" s="9"/>
      <c r="BF86" s="9"/>
      <c r="BG86" s="9"/>
      <c r="BH86" s="9"/>
    </row>
    <row r="87" spans="10:82">
      <c r="AD87" s="48"/>
      <c r="AE87" s="48"/>
      <c r="AY87" s="9"/>
      <c r="AZ87" s="9"/>
      <c r="BA87" s="9"/>
      <c r="BB87" s="9"/>
      <c r="BC87" s="9"/>
      <c r="BD87" s="9"/>
      <c r="BE87" s="9"/>
      <c r="BF87" s="9"/>
      <c r="BG87" s="9"/>
      <c r="BH87" s="9"/>
    </row>
    <row r="88" spans="10:82">
      <c r="AD88" s="48"/>
      <c r="AE88" s="48"/>
      <c r="AY88" s="9"/>
      <c r="AZ88" s="9"/>
      <c r="BA88" s="9"/>
      <c r="BB88" s="9"/>
      <c r="BC88" s="9"/>
      <c r="BD88" s="9"/>
      <c r="BE88" s="9"/>
      <c r="BF88" s="9"/>
      <c r="BG88" s="9"/>
      <c r="BH88" s="9"/>
    </row>
    <row r="89" spans="10:82">
      <c r="AD89" s="48"/>
      <c r="AE89" s="48"/>
      <c r="AY89" s="9"/>
      <c r="AZ89" s="9"/>
      <c r="BA89" s="9"/>
      <c r="BB89" s="9"/>
      <c r="BC89" s="9"/>
      <c r="BD89" s="9"/>
      <c r="BE89" s="9"/>
      <c r="BF89" s="9"/>
      <c r="BG89" s="9"/>
      <c r="BH89" s="9"/>
    </row>
    <row r="90" spans="10:82">
      <c r="AD90" s="48"/>
      <c r="AE90" s="48"/>
      <c r="AY90" s="9"/>
      <c r="AZ90" s="9"/>
      <c r="BA90" s="9"/>
      <c r="BB90" s="9"/>
      <c r="BC90" s="9"/>
      <c r="BD90" s="9"/>
      <c r="BE90" s="9"/>
      <c r="BF90" s="9"/>
      <c r="BG90" s="9"/>
      <c r="BH90" s="9"/>
    </row>
    <row r="91" spans="10:82">
      <c r="AD91" s="48"/>
      <c r="AE91" s="48"/>
      <c r="AY91" s="9"/>
      <c r="AZ91" s="9"/>
      <c r="BA91" s="9"/>
      <c r="BB91" s="9"/>
      <c r="BC91" s="9"/>
      <c r="BD91" s="9"/>
      <c r="BE91" s="9"/>
      <c r="BF91" s="9"/>
      <c r="BG91" s="9"/>
      <c r="BH91" s="9"/>
    </row>
    <row r="92" spans="10:82">
      <c r="AD92" s="48"/>
      <c r="AE92" s="48"/>
      <c r="AY92" s="9"/>
      <c r="AZ92" s="9"/>
      <c r="BA92" s="9"/>
      <c r="BB92" s="9"/>
      <c r="BC92" s="9"/>
      <c r="BD92" s="9"/>
      <c r="BE92" s="9"/>
      <c r="BF92" s="9"/>
      <c r="BG92" s="9"/>
      <c r="BH92" s="9"/>
    </row>
    <row r="93" spans="10:82">
      <c r="AD93" s="48"/>
      <c r="AE93" s="48"/>
      <c r="AY93" s="9"/>
      <c r="AZ93" s="9"/>
      <c r="BA93" s="9"/>
      <c r="BB93" s="9"/>
      <c r="BC93" s="9"/>
      <c r="BD93" s="9"/>
      <c r="BE93" s="9"/>
      <c r="BF93" s="9"/>
      <c r="BG93" s="9"/>
      <c r="BH93" s="9"/>
    </row>
    <row r="94" spans="10:82">
      <c r="AD94" s="48"/>
      <c r="AE94" s="48"/>
      <c r="AY94" s="9"/>
      <c r="AZ94" s="9"/>
      <c r="BA94" s="9"/>
      <c r="BB94" s="9"/>
      <c r="BC94" s="9"/>
      <c r="BD94" s="9"/>
      <c r="BE94" s="9"/>
      <c r="BF94" s="9"/>
      <c r="BG94" s="9"/>
      <c r="BH94" s="9"/>
    </row>
    <row r="95" spans="10:82">
      <c r="AD95" s="48"/>
      <c r="AE95" s="48"/>
      <c r="AY95" s="9"/>
      <c r="AZ95" s="9"/>
      <c r="BA95" s="9"/>
      <c r="BB95" s="9"/>
      <c r="BC95" s="9"/>
      <c r="BD95" s="9"/>
      <c r="BE95" s="9"/>
      <c r="BF95" s="9"/>
      <c r="BG95" s="9"/>
      <c r="BH95" s="9"/>
    </row>
    <row r="96" spans="10:82">
      <c r="AD96" s="48"/>
      <c r="AE96" s="48"/>
      <c r="AY96" s="9"/>
      <c r="AZ96" s="9"/>
      <c r="BA96" s="9"/>
      <c r="BB96" s="9"/>
      <c r="BC96" s="9"/>
      <c r="BD96" s="9"/>
      <c r="BE96" s="9"/>
      <c r="BF96" s="9"/>
      <c r="BG96" s="9"/>
      <c r="BH96" s="9"/>
    </row>
    <row r="97" spans="30:60">
      <c r="AD97" s="48"/>
      <c r="AE97" s="48"/>
      <c r="AY97" s="9"/>
      <c r="AZ97" s="9"/>
      <c r="BA97" s="9"/>
      <c r="BB97" s="9"/>
      <c r="BC97" s="9"/>
      <c r="BD97" s="9"/>
      <c r="BE97" s="9"/>
      <c r="BF97" s="9"/>
      <c r="BG97" s="9"/>
      <c r="BH97" s="9"/>
    </row>
    <row r="98" spans="30:60">
      <c r="AD98" s="48"/>
      <c r="AE98" s="48"/>
      <c r="AY98" s="9"/>
      <c r="AZ98" s="9"/>
      <c r="BA98" s="9"/>
      <c r="BB98" s="9"/>
      <c r="BC98" s="9"/>
      <c r="BD98" s="9"/>
      <c r="BE98" s="9"/>
      <c r="BF98" s="9"/>
      <c r="BG98" s="9"/>
      <c r="BH98" s="9"/>
    </row>
    <row r="99" spans="30:60">
      <c r="AD99" s="48"/>
      <c r="AE99" s="48"/>
      <c r="AY99" s="9"/>
      <c r="AZ99" s="9"/>
      <c r="BA99" s="9"/>
      <c r="BB99" s="9"/>
      <c r="BC99" s="9"/>
      <c r="BD99" s="9"/>
      <c r="BE99" s="9"/>
      <c r="BF99" s="9"/>
      <c r="BG99" s="9"/>
      <c r="BH99" s="9"/>
    </row>
    <row r="100" spans="30:60">
      <c r="AD100" s="48"/>
      <c r="AE100" s="48"/>
      <c r="AY100" s="9"/>
      <c r="AZ100" s="9"/>
      <c r="BA100" s="9"/>
      <c r="BB100" s="9"/>
      <c r="BC100" s="9"/>
      <c r="BD100" s="9"/>
      <c r="BE100" s="9"/>
      <c r="BF100" s="9"/>
      <c r="BG100" s="9"/>
      <c r="BH100" s="9"/>
    </row>
    <row r="101" spans="30:60">
      <c r="AD101" s="48"/>
      <c r="AE101" s="48"/>
      <c r="AY101" s="9"/>
      <c r="AZ101" s="9"/>
      <c r="BA101" s="9"/>
      <c r="BB101" s="9"/>
      <c r="BC101" s="9"/>
      <c r="BD101" s="9"/>
      <c r="BE101" s="9"/>
      <c r="BF101" s="9"/>
      <c r="BG101" s="9"/>
      <c r="BH101" s="9"/>
    </row>
    <row r="102" spans="30:60">
      <c r="AD102" s="48"/>
      <c r="AE102" s="48"/>
      <c r="AY102" s="9"/>
      <c r="AZ102" s="9"/>
      <c r="BA102" s="9"/>
      <c r="BB102" s="9"/>
      <c r="BC102" s="9"/>
      <c r="BD102" s="9"/>
      <c r="BE102" s="9"/>
      <c r="BF102" s="9"/>
      <c r="BG102" s="9"/>
      <c r="BH102" s="9"/>
    </row>
    <row r="103" spans="30:60">
      <c r="AD103" s="48"/>
      <c r="AE103" s="48"/>
      <c r="AY103" s="9"/>
      <c r="AZ103" s="9"/>
      <c r="BA103" s="9"/>
      <c r="BB103" s="9"/>
      <c r="BC103" s="9"/>
      <c r="BD103" s="9"/>
      <c r="BE103" s="9"/>
      <c r="BF103" s="9"/>
      <c r="BG103" s="9"/>
      <c r="BH103" s="9"/>
    </row>
    <row r="104" spans="30:60">
      <c r="AD104" s="48"/>
      <c r="AE104" s="48"/>
      <c r="AY104" s="9"/>
      <c r="AZ104" s="9"/>
      <c r="BA104" s="9"/>
      <c r="BB104" s="9"/>
      <c r="BC104" s="9"/>
      <c r="BD104" s="9"/>
      <c r="BE104" s="9"/>
      <c r="BF104" s="9"/>
      <c r="BG104" s="9"/>
      <c r="BH104" s="9"/>
    </row>
    <row r="105" spans="30:60">
      <c r="AD105" s="48"/>
      <c r="AE105" s="48"/>
      <c r="AY105" s="9"/>
      <c r="AZ105" s="9"/>
      <c r="BA105" s="9"/>
      <c r="BB105" s="9"/>
      <c r="BC105" s="9"/>
      <c r="BD105" s="9"/>
      <c r="BE105" s="9"/>
      <c r="BF105" s="9"/>
      <c r="BG105" s="9"/>
      <c r="BH105" s="9"/>
    </row>
    <row r="106" spans="30:60">
      <c r="AD106" s="48"/>
      <c r="AY106" s="9"/>
      <c r="AZ106" s="9"/>
      <c r="BA106" s="9"/>
      <c r="BB106" s="9"/>
      <c r="BC106" s="9"/>
      <c r="BD106" s="9"/>
      <c r="BE106" s="9"/>
      <c r="BF106" s="9"/>
      <c r="BG106" s="9"/>
      <c r="BH106" s="9"/>
    </row>
    <row r="107" spans="30:60">
      <c r="AD107" s="48"/>
      <c r="AY107" s="9"/>
      <c r="AZ107" s="9"/>
      <c r="BA107" s="9"/>
      <c r="BB107" s="9"/>
      <c r="BC107" s="9"/>
      <c r="BD107" s="9"/>
      <c r="BE107" s="9"/>
      <c r="BF107" s="9"/>
      <c r="BG107" s="9"/>
      <c r="BH107" s="9"/>
    </row>
    <row r="108" spans="30:60">
      <c r="AD108" s="48"/>
      <c r="AY108" s="9"/>
      <c r="AZ108" s="9"/>
      <c r="BA108" s="9"/>
      <c r="BB108" s="9"/>
      <c r="BC108" s="9"/>
      <c r="BD108" s="9"/>
      <c r="BE108" s="9"/>
      <c r="BF108" s="9"/>
      <c r="BG108" s="9"/>
      <c r="BH108" s="9"/>
    </row>
    <row r="109" spans="30:60">
      <c r="AY109" s="9"/>
      <c r="AZ109" s="9"/>
      <c r="BA109" s="9"/>
      <c r="BB109" s="9"/>
      <c r="BC109" s="9"/>
      <c r="BD109" s="9"/>
      <c r="BE109" s="9"/>
      <c r="BF109" s="9"/>
      <c r="BG109" s="9"/>
      <c r="BH109" s="9"/>
    </row>
    <row r="110" spans="30:60">
      <c r="AY110" s="9"/>
      <c r="AZ110" s="9"/>
      <c r="BA110" s="9"/>
      <c r="BB110" s="9"/>
      <c r="BC110" s="9"/>
      <c r="BD110" s="9"/>
      <c r="BE110" s="9"/>
      <c r="BF110" s="9"/>
      <c r="BG110" s="9"/>
      <c r="BH110" s="9"/>
    </row>
    <row r="111" spans="30:60">
      <c r="AY111" s="9"/>
      <c r="AZ111" s="9"/>
      <c r="BA111" s="9"/>
      <c r="BB111" s="9"/>
      <c r="BC111" s="9"/>
      <c r="BD111" s="9"/>
      <c r="BE111" s="9"/>
      <c r="BF111" s="9"/>
      <c r="BG111" s="9"/>
      <c r="BH111" s="9"/>
    </row>
  </sheetData>
  <mergeCells count="117">
    <mergeCell ref="S54:Y54"/>
    <mergeCell ref="AA54:AH54"/>
    <mergeCell ref="S55:T55"/>
    <mergeCell ref="AJ55:AP55"/>
    <mergeCell ref="BJ55:BR55"/>
    <mergeCell ref="J56:Q56"/>
    <mergeCell ref="AA56:AH56"/>
    <mergeCell ref="AZ57:BH57"/>
    <mergeCell ref="BJ57:BK57"/>
    <mergeCell ref="I1:Q1"/>
    <mergeCell ref="AA3:AD3"/>
    <mergeCell ref="Z3:Z6"/>
    <mergeCell ref="AC4:AC5"/>
    <mergeCell ref="AD4:AD5"/>
    <mergeCell ref="M3:M5"/>
    <mergeCell ref="N3:N5"/>
    <mergeCell ref="AK4:AK5"/>
    <mergeCell ref="AL4:AL5"/>
    <mergeCell ref="AI1:AJ1"/>
    <mergeCell ref="AH4:AH5"/>
    <mergeCell ref="AG2:AH2"/>
    <mergeCell ref="W1:Y1"/>
    <mergeCell ref="P2:Q2"/>
    <mergeCell ref="I3:I6"/>
    <mergeCell ref="J4:J5"/>
    <mergeCell ref="P4:P5"/>
    <mergeCell ref="L4:L5"/>
    <mergeCell ref="X4:X5"/>
    <mergeCell ref="J3:L3"/>
    <mergeCell ref="AB4:AB5"/>
    <mergeCell ref="T4:T5"/>
    <mergeCell ref="U3:U5"/>
    <mergeCell ref="W4:W5"/>
    <mergeCell ref="C13:G14"/>
    <mergeCell ref="AY1:BE1"/>
    <mergeCell ref="AV1:AX1"/>
    <mergeCell ref="AW2:AX2"/>
    <mergeCell ref="BD3:BH3"/>
    <mergeCell ref="AX4:AX5"/>
    <mergeCell ref="BG2:BH2"/>
    <mergeCell ref="BF1:BH1"/>
    <mergeCell ref="AN1:AP1"/>
    <mergeCell ref="AO2:AP2"/>
    <mergeCell ref="AN4:AN5"/>
    <mergeCell ref="AP4:AP5"/>
    <mergeCell ref="AM3:AP3"/>
    <mergeCell ref="AS4:AS5"/>
    <mergeCell ref="AM4:AM5"/>
    <mergeCell ref="AQ3:AQ6"/>
    <mergeCell ref="K4:K5"/>
    <mergeCell ref="AE1:AH1"/>
    <mergeCell ref="AI4:AI5"/>
    <mergeCell ref="X2:Y2"/>
    <mergeCell ref="AE4:AE5"/>
    <mergeCell ref="AJ4:AJ5"/>
    <mergeCell ref="AI3:AL3"/>
    <mergeCell ref="AE3:AH3"/>
    <mergeCell ref="AW4:AW5"/>
    <mergeCell ref="BF4:BG4"/>
    <mergeCell ref="AZ4:AZ5"/>
    <mergeCell ref="AV3:AX3"/>
    <mergeCell ref="AR3:AU3"/>
    <mergeCell ref="BD4:BE4"/>
    <mergeCell ref="BC3:BC5"/>
    <mergeCell ref="AV4:AV5"/>
    <mergeCell ref="BA4:BA5"/>
    <mergeCell ref="AY3:BA3"/>
    <mergeCell ref="BB3:BB5"/>
    <mergeCell ref="AU4:AU5"/>
    <mergeCell ref="CB1:CD1"/>
    <mergeCell ref="CC2:CD2"/>
    <mergeCell ref="BT1:BV1"/>
    <mergeCell ref="BP1:BS1"/>
    <mergeCell ref="BT2:BU2"/>
    <mergeCell ref="BU4:BU5"/>
    <mergeCell ref="BV4:BV5"/>
    <mergeCell ref="BN4:BN5"/>
    <mergeCell ref="BP3:BQ3"/>
    <mergeCell ref="BQ4:BQ5"/>
    <mergeCell ref="BY4:CA4"/>
    <mergeCell ref="BS3:BS5"/>
    <mergeCell ref="BX4:BX5"/>
    <mergeCell ref="BT4:BT5"/>
    <mergeCell ref="BW4:BW5"/>
    <mergeCell ref="CB4:CD4"/>
    <mergeCell ref="BT3:CD3"/>
    <mergeCell ref="BR3:BR5"/>
    <mergeCell ref="BP4:BP5"/>
    <mergeCell ref="BJ3:BN3"/>
    <mergeCell ref="BO3:BO5"/>
    <mergeCell ref="BM4:BM5"/>
    <mergeCell ref="BR2:BS2"/>
    <mergeCell ref="BJ4:BJ5"/>
    <mergeCell ref="BL4:BL5"/>
    <mergeCell ref="BK4:BK5"/>
    <mergeCell ref="AF4:AF5"/>
    <mergeCell ref="AG4:AG5"/>
    <mergeCell ref="J55:Q55"/>
    <mergeCell ref="AZ56:BH56"/>
    <mergeCell ref="J54:Q54"/>
    <mergeCell ref="AZ55:BH55"/>
    <mergeCell ref="AJ54:AP54"/>
    <mergeCell ref="BJ54:BR54"/>
    <mergeCell ref="V4:V5"/>
    <mergeCell ref="AT4:AT5"/>
    <mergeCell ref="AR4:AR5"/>
    <mergeCell ref="AO4:AO5"/>
    <mergeCell ref="BI3:BI6"/>
    <mergeCell ref="BH4:BH5"/>
    <mergeCell ref="AY4:AY5"/>
    <mergeCell ref="V3:Y3"/>
    <mergeCell ref="R3:T3"/>
    <mergeCell ref="O4:O5"/>
    <mergeCell ref="AA4:AA5"/>
    <mergeCell ref="R4:S4"/>
    <mergeCell ref="Y4:Y5"/>
    <mergeCell ref="O3:Q3"/>
  </mergeCells>
  <phoneticPr fontId="4" type="noConversion"/>
  <conditionalFormatting sqref="Z13:Z14 AQ13:AQ14 BI13:BI14 I13:I14">
    <cfRule type="expression" priority="121" stopIfTrue="1">
      <formula>MOD(row,0)=0</formula>
    </cfRule>
  </conditionalFormatting>
  <conditionalFormatting sqref="Z14 AQ14 BI14 I14">
    <cfRule type="expression" dxfId="10" priority="117" stopIfTrue="1">
      <formula>MOD(ROW(),2)=1</formula>
    </cfRule>
  </conditionalFormatting>
  <conditionalFormatting sqref="Z14 AQ14 BI14 I14">
    <cfRule type="expression" dxfId="9" priority="115" stopIfTrue="1">
      <formula>MOD(ROW(),2)=1</formula>
    </cfRule>
    <cfRule type="expression" priority="116" stopIfTrue="1">
      <formula>MOD(ROW(),2)=1</formula>
    </cfRule>
  </conditionalFormatting>
  <conditionalFormatting sqref="AQ14 Z14 BI14 I14">
    <cfRule type="expression" priority="113" stopIfTrue="1">
      <formula>MOD((((#REF!))),0)=0</formula>
    </cfRule>
  </conditionalFormatting>
  <conditionalFormatting sqref="Z14 AQ14 BI14">
    <cfRule type="expression" priority="82" stopIfTrue="1">
      <formula>MOD((((#REF!))),0)=0</formula>
    </cfRule>
  </conditionalFormatting>
  <pageMargins left="0.62992125984252001" right="0.511811023622047" top="0.31496062992126" bottom="2.5590551E-2" header="0" footer="6.4960630000000005E-2"/>
  <pageSetup paperSize="448" orientation="portrait" useFirstPageNumber="1" r:id="rId1"/>
  <headerFooter differentFirst="1" alignWithMargins="0">
    <oddFooter>&amp;C&amp;"Times New Roman,Regular"&amp;8&amp;P</oddFooter>
  </headerFooter>
  <colBreaks count="1" manualBreakCount="1">
    <brk id="8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AB64"/>
  <sheetViews>
    <sheetView zoomScale="150" zoomScaleNormal="150" workbookViewId="0">
      <pane xSplit="1" ySplit="6" topLeftCell="R31" activePane="bottomRight" state="frozen"/>
      <selection activeCell="F85" sqref="F85"/>
      <selection pane="topRight" activeCell="F85" sqref="F85"/>
      <selection pane="bottomLeft" activeCell="F85" sqref="F85"/>
      <selection pane="bottomRight" activeCell="I35" sqref="I35"/>
    </sheetView>
  </sheetViews>
  <sheetFormatPr defaultColWidth="9.140625" defaultRowHeight="11.25"/>
  <cols>
    <col min="1" max="1" width="9" style="9" customWidth="1"/>
    <col min="2" max="2" width="11.42578125" style="9" customWidth="1"/>
    <col min="3" max="3" width="12.28515625" style="9" customWidth="1"/>
    <col min="4" max="4" width="11.42578125" style="9" customWidth="1"/>
    <col min="5" max="5" width="10.5703125" style="9" customWidth="1"/>
    <col min="6" max="6" width="9.28515625" style="9" customWidth="1"/>
    <col min="7" max="7" width="11.28515625" style="9" customWidth="1"/>
    <col min="8" max="8" width="10.28515625" style="9" customWidth="1"/>
    <col min="9" max="9" width="11.7109375" style="9" customWidth="1"/>
    <col min="10" max="10" width="11.140625" style="9" customWidth="1"/>
    <col min="11" max="11" width="11.42578125" style="9" customWidth="1"/>
    <col min="12" max="12" width="10.85546875" style="9" customWidth="1"/>
    <col min="13" max="13" width="10.7109375" style="9" customWidth="1"/>
    <col min="14" max="14" width="11.140625" style="9" customWidth="1"/>
    <col min="15" max="15" width="16.42578125" style="9" customWidth="1"/>
    <col min="16" max="16" width="15.7109375" style="9" customWidth="1"/>
    <col min="17" max="17" width="13" style="9" customWidth="1"/>
    <col min="18" max="18" width="14.28515625" style="9" customWidth="1"/>
    <col min="19" max="19" width="15.7109375" style="9" customWidth="1"/>
    <col min="20" max="20" width="7.5703125" style="9" customWidth="1"/>
    <col min="21" max="21" width="8.85546875" style="9" customWidth="1"/>
    <col min="22" max="22" width="11.7109375" style="9" customWidth="1"/>
    <col min="23" max="23" width="7.5703125" style="9" customWidth="1"/>
    <col min="24" max="24" width="8.42578125" style="9" customWidth="1"/>
    <col min="25" max="25" width="7.7109375" style="9" customWidth="1"/>
    <col min="26" max="26" width="9.42578125" style="9" customWidth="1"/>
    <col min="27" max="27" width="8.140625" style="9" customWidth="1"/>
    <col min="28" max="28" width="8.7109375" style="9" customWidth="1"/>
    <col min="29" max="16384" width="9.140625" style="9"/>
  </cols>
  <sheetData>
    <row r="1" spans="1:28" ht="16.5" customHeight="1"/>
    <row r="2" spans="1:28" s="429" customFormat="1" ht="27.75" customHeight="1">
      <c r="A2" s="2218" t="s">
        <v>1363</v>
      </c>
      <c r="B2" s="2218"/>
      <c r="C2" s="2218"/>
      <c r="D2" s="2218"/>
      <c r="E2" s="2218"/>
      <c r="F2" s="2219" t="s">
        <v>1455</v>
      </c>
      <c r="G2" s="2219"/>
      <c r="H2" s="445"/>
      <c r="I2" s="2219" t="s">
        <v>1131</v>
      </c>
      <c r="J2" s="2219"/>
      <c r="K2" s="2219"/>
      <c r="L2" s="2219"/>
      <c r="M2" s="2219"/>
      <c r="N2" s="2219"/>
      <c r="O2" s="2225" t="s">
        <v>1087</v>
      </c>
      <c r="P2" s="2225"/>
      <c r="Q2" s="2225"/>
      <c r="R2" s="2219" t="s">
        <v>1455</v>
      </c>
      <c r="S2" s="2219"/>
      <c r="T2" s="2218" t="s">
        <v>1086</v>
      </c>
      <c r="U2" s="2218"/>
      <c r="V2" s="2218"/>
      <c r="W2" s="2218"/>
      <c r="X2" s="2218"/>
      <c r="Y2" s="2218"/>
      <c r="Z2" s="2219" t="s">
        <v>1456</v>
      </c>
      <c r="AA2" s="2219"/>
      <c r="AB2" s="2219"/>
    </row>
    <row r="3" spans="1:28" s="55" customFormat="1" ht="21.75" customHeight="1">
      <c r="A3" s="2230" t="s">
        <v>1087</v>
      </c>
      <c r="B3" s="2230"/>
      <c r="C3" s="2230"/>
      <c r="D3" s="2230"/>
      <c r="E3" s="2230"/>
      <c r="F3" s="2216" t="s">
        <v>53</v>
      </c>
      <c r="G3" s="2216"/>
      <c r="H3" s="88"/>
      <c r="K3" s="85"/>
      <c r="L3" s="85"/>
      <c r="M3" s="2061"/>
      <c r="N3" s="2061"/>
      <c r="O3" s="156"/>
      <c r="P3" s="156"/>
      <c r="R3" s="2061" t="s">
        <v>53</v>
      </c>
      <c r="S3" s="2061"/>
      <c r="T3" s="2224" t="s">
        <v>1364</v>
      </c>
      <c r="U3" s="2224"/>
      <c r="V3" s="2224"/>
      <c r="W3" s="2224"/>
      <c r="X3" s="2224"/>
      <c r="Y3" s="2224"/>
      <c r="Z3" s="2224"/>
      <c r="AA3" s="2061" t="s">
        <v>53</v>
      </c>
      <c r="AB3" s="2061"/>
    </row>
    <row r="4" spans="1:28" s="178" customFormat="1" ht="16.5" customHeight="1">
      <c r="A4" s="2226" t="s">
        <v>663</v>
      </c>
      <c r="B4" s="2227" t="s">
        <v>1085</v>
      </c>
      <c r="C4" s="2227"/>
      <c r="D4" s="2227"/>
      <c r="E4" s="2227"/>
      <c r="F4" s="2227"/>
      <c r="G4" s="2227"/>
      <c r="H4" s="2043" t="s">
        <v>663</v>
      </c>
      <c r="I4" s="2220" t="s">
        <v>1134</v>
      </c>
      <c r="J4" s="2221"/>
      <c r="K4" s="2221"/>
      <c r="L4" s="2221"/>
      <c r="M4" s="2221"/>
      <c r="N4" s="2221"/>
      <c r="O4" s="2221"/>
      <c r="P4" s="2221"/>
      <c r="Q4" s="2221"/>
      <c r="R4" s="2222"/>
      <c r="S4" s="2043" t="s">
        <v>663</v>
      </c>
      <c r="T4" s="2111" t="s">
        <v>663</v>
      </c>
      <c r="U4" s="2220" t="s">
        <v>77</v>
      </c>
      <c r="V4" s="2221"/>
      <c r="W4" s="2221"/>
      <c r="X4" s="2222"/>
      <c r="Y4" s="2221" t="s">
        <v>78</v>
      </c>
      <c r="Z4" s="2221"/>
      <c r="AA4" s="2221"/>
      <c r="AB4" s="2222"/>
    </row>
    <row r="5" spans="1:28" s="158" customFormat="1" ht="12.75" customHeight="1">
      <c r="A5" s="2044"/>
      <c r="B5" s="2228" t="s">
        <v>1088</v>
      </c>
      <c r="C5" s="2228"/>
      <c r="D5" s="2228"/>
      <c r="E5" s="2228"/>
      <c r="F5" s="2046" t="s">
        <v>1130</v>
      </c>
      <c r="G5" s="2046"/>
      <c r="H5" s="2044"/>
      <c r="I5" s="2231" t="s">
        <v>1130</v>
      </c>
      <c r="J5" s="2232"/>
      <c r="K5" s="2228" t="s">
        <v>168</v>
      </c>
      <c r="L5" s="2228"/>
      <c r="M5" s="2228"/>
      <c r="N5" s="2228"/>
      <c r="O5" s="2231" t="s">
        <v>659</v>
      </c>
      <c r="P5" s="2232"/>
      <c r="Q5" s="2232"/>
      <c r="R5" s="2236"/>
      <c r="S5" s="2044"/>
      <c r="T5" s="2111"/>
      <c r="U5" s="2060" t="s">
        <v>1066</v>
      </c>
      <c r="V5" s="2060" t="s">
        <v>1570</v>
      </c>
      <c r="W5" s="2060" t="s">
        <v>1038</v>
      </c>
      <c r="X5" s="2060" t="s">
        <v>79</v>
      </c>
      <c r="Y5" s="2060" t="s">
        <v>1067</v>
      </c>
      <c r="Z5" s="2223" t="s">
        <v>76</v>
      </c>
      <c r="AA5" s="2060" t="s">
        <v>30</v>
      </c>
      <c r="AB5" s="2028" t="s">
        <v>1040</v>
      </c>
    </row>
    <row r="6" spans="1:28" s="100" customFormat="1" ht="25.5" customHeight="1">
      <c r="A6" s="2045"/>
      <c r="B6" s="23" t="s">
        <v>75</v>
      </c>
      <c r="C6" s="23" t="s">
        <v>76</v>
      </c>
      <c r="D6" s="23" t="s">
        <v>30</v>
      </c>
      <c r="E6" s="23" t="s">
        <v>1035</v>
      </c>
      <c r="F6" s="23" t="s">
        <v>75</v>
      </c>
      <c r="G6" s="23" t="s">
        <v>76</v>
      </c>
      <c r="H6" s="2045"/>
      <c r="I6" s="23" t="s">
        <v>1065</v>
      </c>
      <c r="J6" s="23" t="s">
        <v>1036</v>
      </c>
      <c r="K6" s="23" t="s">
        <v>1039</v>
      </c>
      <c r="L6" s="23" t="s">
        <v>76</v>
      </c>
      <c r="M6" s="23" t="s">
        <v>30</v>
      </c>
      <c r="N6" s="23" t="s">
        <v>1064</v>
      </c>
      <c r="O6" s="23" t="s">
        <v>1089</v>
      </c>
      <c r="P6" s="23" t="s">
        <v>76</v>
      </c>
      <c r="Q6" s="23" t="s">
        <v>1037</v>
      </c>
      <c r="R6" s="23" t="s">
        <v>1135</v>
      </c>
      <c r="S6" s="2045"/>
      <c r="T6" s="2111"/>
      <c r="U6" s="2060"/>
      <c r="V6" s="2060"/>
      <c r="W6" s="2060"/>
      <c r="X6" s="2060"/>
      <c r="Y6" s="2060"/>
      <c r="Z6" s="2072"/>
      <c r="AA6" s="2060"/>
      <c r="AB6" s="2028"/>
    </row>
    <row r="7" spans="1:28" s="71" customFormat="1" ht="15" customHeight="1">
      <c r="A7" s="177">
        <v>1993</v>
      </c>
      <c r="B7" s="179">
        <v>1738.3</v>
      </c>
      <c r="C7" s="179">
        <v>1769.7</v>
      </c>
      <c r="D7" s="179">
        <v>-31.9</v>
      </c>
      <c r="E7" s="177">
        <v>64492</v>
      </c>
      <c r="F7" s="179">
        <v>195.1</v>
      </c>
      <c r="G7" s="179">
        <v>91.85</v>
      </c>
      <c r="H7" s="177">
        <v>1993</v>
      </c>
      <c r="I7" s="179">
        <v>54.36</v>
      </c>
      <c r="J7" s="177">
        <v>826</v>
      </c>
      <c r="K7" s="179">
        <v>835.92</v>
      </c>
      <c r="L7" s="179">
        <v>813.51</v>
      </c>
      <c r="M7" s="179">
        <v>3.23</v>
      </c>
      <c r="N7" s="177">
        <v>18276</v>
      </c>
      <c r="O7" s="179">
        <v>2769.32</v>
      </c>
      <c r="P7" s="179">
        <v>2675.06</v>
      </c>
      <c r="Q7" s="179">
        <v>25.69</v>
      </c>
      <c r="R7" s="177">
        <v>83594</v>
      </c>
      <c r="S7" s="177">
        <v>1993</v>
      </c>
      <c r="T7" s="99" t="s">
        <v>725</v>
      </c>
      <c r="U7" s="179">
        <v>665.13</v>
      </c>
      <c r="V7" s="179">
        <v>188.71</v>
      </c>
      <c r="W7" s="179">
        <v>476.42</v>
      </c>
      <c r="X7" s="177">
        <v>6435</v>
      </c>
      <c r="Y7" s="179">
        <v>186.68</v>
      </c>
      <c r="Z7" s="179">
        <v>511.26</v>
      </c>
      <c r="AA7" s="179">
        <v>-330.69</v>
      </c>
      <c r="AB7" s="177">
        <v>16871</v>
      </c>
    </row>
    <row r="8" spans="1:28" s="71" customFormat="1" ht="15" customHeight="1">
      <c r="A8" s="406">
        <v>1994</v>
      </c>
      <c r="B8" s="407">
        <v>1702.56</v>
      </c>
      <c r="C8" s="407">
        <v>1683.24</v>
      </c>
      <c r="D8" s="407">
        <v>18.82</v>
      </c>
      <c r="E8" s="406">
        <v>63804</v>
      </c>
      <c r="F8" s="407">
        <v>242.36</v>
      </c>
      <c r="G8" s="407">
        <v>105.74</v>
      </c>
      <c r="H8" s="406">
        <v>1994</v>
      </c>
      <c r="I8" s="407">
        <v>68.319999999999993</v>
      </c>
      <c r="J8" s="406">
        <v>888</v>
      </c>
      <c r="K8" s="407">
        <v>851.89</v>
      </c>
      <c r="L8" s="407">
        <v>801.25</v>
      </c>
      <c r="M8" s="407">
        <v>14.8</v>
      </c>
      <c r="N8" s="406">
        <v>18794</v>
      </c>
      <c r="O8" s="407">
        <v>2796.81</v>
      </c>
      <c r="P8" s="407">
        <v>2590.23</v>
      </c>
      <c r="Q8" s="407">
        <v>101.94</v>
      </c>
      <c r="R8" s="406">
        <v>83486</v>
      </c>
      <c r="S8" s="406">
        <v>1994</v>
      </c>
      <c r="T8" s="408" t="s">
        <v>726</v>
      </c>
      <c r="U8" s="407">
        <v>838.06</v>
      </c>
      <c r="V8" s="407">
        <v>239.33</v>
      </c>
      <c r="W8" s="407">
        <v>598.73</v>
      </c>
      <c r="X8" s="406">
        <v>6345</v>
      </c>
      <c r="Y8" s="407">
        <v>310.63</v>
      </c>
      <c r="Z8" s="407">
        <v>617.73</v>
      </c>
      <c r="AA8" s="407">
        <v>-307.10000000000002</v>
      </c>
      <c r="AB8" s="406">
        <v>16856</v>
      </c>
    </row>
    <row r="9" spans="1:28" s="71" customFormat="1" ht="15" customHeight="1">
      <c r="A9" s="177">
        <v>1995</v>
      </c>
      <c r="B9" s="179">
        <v>1982.08</v>
      </c>
      <c r="C9" s="179">
        <v>1869.11</v>
      </c>
      <c r="D9" s="179">
        <v>112.37</v>
      </c>
      <c r="E9" s="177">
        <v>63803</v>
      </c>
      <c r="F9" s="179">
        <v>335.65</v>
      </c>
      <c r="G9" s="179">
        <v>151.38999999999999</v>
      </c>
      <c r="H9" s="177">
        <v>1995</v>
      </c>
      <c r="I9" s="179">
        <v>90.76</v>
      </c>
      <c r="J9" s="177">
        <v>966</v>
      </c>
      <c r="K9" s="179">
        <v>943.89</v>
      </c>
      <c r="L9" s="179">
        <v>831.99</v>
      </c>
      <c r="M9" s="179">
        <v>56.56</v>
      </c>
      <c r="N9" s="177">
        <v>20083</v>
      </c>
      <c r="O9" s="179">
        <v>3261.62</v>
      </c>
      <c r="P9" s="179">
        <v>2964.39</v>
      </c>
      <c r="Q9" s="179">
        <v>259.69</v>
      </c>
      <c r="R9" s="177">
        <v>84852</v>
      </c>
      <c r="S9" s="177">
        <v>1995</v>
      </c>
      <c r="T9" s="99" t="s">
        <v>727</v>
      </c>
      <c r="U9" s="179">
        <v>840.64</v>
      </c>
      <c r="V9" s="179">
        <v>310.44</v>
      </c>
      <c r="W9" s="179">
        <v>530.20000000000005</v>
      </c>
      <c r="X9" s="177">
        <v>6281</v>
      </c>
      <c r="Y9" s="179">
        <v>235.97</v>
      </c>
      <c r="Z9" s="179">
        <v>528.04</v>
      </c>
      <c r="AA9" s="179">
        <v>-292.07</v>
      </c>
      <c r="AB9" s="177">
        <v>16459</v>
      </c>
    </row>
    <row r="10" spans="1:28" s="71" customFormat="1" ht="15" customHeight="1">
      <c r="A10" s="406">
        <v>1996</v>
      </c>
      <c r="B10" s="407">
        <v>2249.11</v>
      </c>
      <c r="C10" s="407">
        <v>2220.5</v>
      </c>
      <c r="D10" s="407">
        <v>28.11</v>
      </c>
      <c r="E10" s="406">
        <v>63731</v>
      </c>
      <c r="F10" s="407">
        <v>408.46</v>
      </c>
      <c r="G10" s="407">
        <v>221.73</v>
      </c>
      <c r="H10" s="406">
        <v>1996</v>
      </c>
      <c r="I10" s="407">
        <v>98.72</v>
      </c>
      <c r="J10" s="406">
        <v>1016</v>
      </c>
      <c r="K10" s="407">
        <v>1132.23</v>
      </c>
      <c r="L10" s="407">
        <v>939.75</v>
      </c>
      <c r="M10" s="407">
        <v>131.49</v>
      </c>
      <c r="N10" s="406">
        <v>21140</v>
      </c>
      <c r="O10" s="407">
        <v>3789.8</v>
      </c>
      <c r="P10" s="407">
        <v>3381.98</v>
      </c>
      <c r="Q10" s="407">
        <v>258.32</v>
      </c>
      <c r="R10" s="406">
        <v>85887</v>
      </c>
      <c r="S10" s="406">
        <v>1996</v>
      </c>
      <c r="T10" s="408" t="s">
        <v>728</v>
      </c>
      <c r="U10" s="407">
        <v>936.03</v>
      </c>
      <c r="V10" s="407">
        <v>301.69</v>
      </c>
      <c r="W10" s="407">
        <v>634.34</v>
      </c>
      <c r="X10" s="406">
        <v>6215</v>
      </c>
      <c r="Y10" s="407">
        <v>410.88</v>
      </c>
      <c r="Z10" s="407">
        <v>615.38</v>
      </c>
      <c r="AA10" s="407">
        <v>-204.5</v>
      </c>
      <c r="AB10" s="406">
        <v>16273</v>
      </c>
    </row>
    <row r="11" spans="1:28" s="71" customFormat="1" ht="15" customHeight="1">
      <c r="A11" s="177">
        <v>1997</v>
      </c>
      <c r="B11" s="179">
        <v>2574.08</v>
      </c>
      <c r="C11" s="179">
        <v>2556.81</v>
      </c>
      <c r="D11" s="179">
        <v>16.77</v>
      </c>
      <c r="E11" s="177">
        <v>62723</v>
      </c>
      <c r="F11" s="179">
        <v>564.1</v>
      </c>
      <c r="G11" s="179">
        <v>335.64</v>
      </c>
      <c r="H11" s="177">
        <v>1997</v>
      </c>
      <c r="I11" s="179">
        <v>134.21</v>
      </c>
      <c r="J11" s="177">
        <v>1125</v>
      </c>
      <c r="K11" s="179">
        <v>1414.22</v>
      </c>
      <c r="L11" s="179">
        <v>1180.04</v>
      </c>
      <c r="M11" s="179">
        <v>144.47999999999999</v>
      </c>
      <c r="N11" s="177">
        <v>22194</v>
      </c>
      <c r="O11" s="179">
        <v>4552.3999999999996</v>
      </c>
      <c r="P11" s="179">
        <v>4072.49</v>
      </c>
      <c r="Q11" s="179">
        <v>295.45999999999998</v>
      </c>
      <c r="R11" s="177">
        <v>86042</v>
      </c>
      <c r="S11" s="177">
        <v>1997</v>
      </c>
      <c r="T11" s="99" t="s">
        <v>729</v>
      </c>
      <c r="U11" s="179">
        <v>1059.3900000000001</v>
      </c>
      <c r="V11" s="179">
        <v>288.75</v>
      </c>
      <c r="W11" s="179">
        <v>770.64</v>
      </c>
      <c r="X11" s="177">
        <v>6129</v>
      </c>
      <c r="Y11" s="179">
        <v>440.48</v>
      </c>
      <c r="Z11" s="179">
        <v>701.5</v>
      </c>
      <c r="AA11" s="179">
        <v>-261.02</v>
      </c>
      <c r="AB11" s="177">
        <v>16342</v>
      </c>
    </row>
    <row r="12" spans="1:28" s="71" customFormat="1" ht="15" customHeight="1">
      <c r="A12" s="406">
        <v>1998</v>
      </c>
      <c r="B12" s="407">
        <v>2815.17</v>
      </c>
      <c r="C12" s="407">
        <v>2808.69</v>
      </c>
      <c r="D12" s="407">
        <v>-5.98</v>
      </c>
      <c r="E12" s="406">
        <v>63583</v>
      </c>
      <c r="F12" s="407">
        <v>585.59</v>
      </c>
      <c r="G12" s="407">
        <v>326.62</v>
      </c>
      <c r="H12" s="406">
        <v>1998</v>
      </c>
      <c r="I12" s="407">
        <v>149.43</v>
      </c>
      <c r="J12" s="406">
        <v>1262</v>
      </c>
      <c r="K12" s="407">
        <v>1696.46</v>
      </c>
      <c r="L12" s="407">
        <v>1457.83</v>
      </c>
      <c r="M12" s="407">
        <v>158.35</v>
      </c>
      <c r="N12" s="406">
        <v>22893</v>
      </c>
      <c r="O12" s="407">
        <v>5097.22</v>
      </c>
      <c r="P12" s="407">
        <v>4593.1400000000003</v>
      </c>
      <c r="Q12" s="407">
        <v>301.8</v>
      </c>
      <c r="R12" s="406">
        <v>87738</v>
      </c>
      <c r="S12" s="406">
        <v>1998</v>
      </c>
      <c r="T12" s="408" t="s">
        <v>730</v>
      </c>
      <c r="U12" s="407">
        <v>1171.56</v>
      </c>
      <c r="V12" s="407">
        <v>384.7</v>
      </c>
      <c r="W12" s="407">
        <v>786.86</v>
      </c>
      <c r="X12" s="406">
        <v>6178</v>
      </c>
      <c r="Y12" s="407">
        <v>492.91</v>
      </c>
      <c r="Z12" s="407">
        <v>766.77</v>
      </c>
      <c r="AA12" s="407">
        <v>-296.7</v>
      </c>
      <c r="AB12" s="406">
        <v>16114</v>
      </c>
    </row>
    <row r="13" spans="1:28" s="71" customFormat="1" ht="15" customHeight="1">
      <c r="A13" s="177">
        <v>1999</v>
      </c>
      <c r="B13" s="179">
        <v>3161.26</v>
      </c>
      <c r="C13" s="179">
        <v>3164.79</v>
      </c>
      <c r="D13" s="179">
        <v>-16.66</v>
      </c>
      <c r="E13" s="177">
        <v>62419</v>
      </c>
      <c r="F13" s="179">
        <v>713.65</v>
      </c>
      <c r="G13" s="179">
        <v>447.39</v>
      </c>
      <c r="H13" s="177">
        <v>1999</v>
      </c>
      <c r="I13" s="179">
        <v>149.69999999999999</v>
      </c>
      <c r="J13" s="177">
        <v>1311</v>
      </c>
      <c r="K13" s="179">
        <v>2094.5100000000002</v>
      </c>
      <c r="L13" s="179">
        <v>1760.92</v>
      </c>
      <c r="M13" s="179">
        <v>178.44</v>
      </c>
      <c r="N13" s="177">
        <v>24281</v>
      </c>
      <c r="O13" s="179">
        <v>5969.42</v>
      </c>
      <c r="P13" s="179">
        <v>5373.1</v>
      </c>
      <c r="Q13" s="179">
        <v>311.48</v>
      </c>
      <c r="R13" s="177">
        <v>88011</v>
      </c>
      <c r="S13" s="177">
        <v>1999</v>
      </c>
      <c r="T13" s="99" t="s">
        <v>731</v>
      </c>
      <c r="U13" s="179">
        <v>1159.3499999999999</v>
      </c>
      <c r="V13" s="179">
        <v>363.37</v>
      </c>
      <c r="W13" s="179">
        <v>795.98</v>
      </c>
      <c r="X13" s="177">
        <v>6061</v>
      </c>
      <c r="Y13" s="179">
        <v>598.45000000000005</v>
      </c>
      <c r="Z13" s="179">
        <v>766</v>
      </c>
      <c r="AA13" s="179">
        <v>-532.37</v>
      </c>
      <c r="AB13" s="177">
        <v>16036</v>
      </c>
    </row>
    <row r="14" spans="1:28" s="71" customFormat="1" ht="15" customHeight="1">
      <c r="A14" s="406">
        <v>2000</v>
      </c>
      <c r="B14" s="407">
        <v>3726.27</v>
      </c>
      <c r="C14" s="407">
        <v>3532.16</v>
      </c>
      <c r="D14" s="407">
        <v>24.58</v>
      </c>
      <c r="E14" s="406">
        <v>62091</v>
      </c>
      <c r="F14" s="407">
        <v>967.5</v>
      </c>
      <c r="G14" s="407">
        <v>548.08000000000004</v>
      </c>
      <c r="H14" s="406">
        <v>2000</v>
      </c>
      <c r="I14" s="407">
        <v>220.46</v>
      </c>
      <c r="J14" s="406">
        <v>1280</v>
      </c>
      <c r="K14" s="407">
        <v>3267.62</v>
      </c>
      <c r="L14" s="407">
        <v>2462.09</v>
      </c>
      <c r="M14" s="407">
        <v>309.97000000000003</v>
      </c>
      <c r="N14" s="406">
        <v>25975</v>
      </c>
      <c r="O14" s="407">
        <v>7961.39</v>
      </c>
      <c r="P14" s="407">
        <v>6542.33</v>
      </c>
      <c r="Q14" s="407">
        <v>555.01</v>
      </c>
      <c r="R14" s="406">
        <v>89346</v>
      </c>
      <c r="S14" s="406">
        <v>2000</v>
      </c>
      <c r="T14" s="408" t="s">
        <v>732</v>
      </c>
      <c r="U14" s="407">
        <v>1172.58</v>
      </c>
      <c r="V14" s="407">
        <v>456.64</v>
      </c>
      <c r="W14" s="407">
        <v>715.95</v>
      </c>
      <c r="X14" s="406">
        <v>5926</v>
      </c>
      <c r="Y14" s="407">
        <v>820.34</v>
      </c>
      <c r="Z14" s="407">
        <v>736.36</v>
      </c>
      <c r="AA14" s="407">
        <v>79.81</v>
      </c>
      <c r="AB14" s="406">
        <v>16164</v>
      </c>
    </row>
    <row r="15" spans="1:28" s="71" customFormat="1" ht="15" customHeight="1">
      <c r="A15" s="177">
        <v>2001</v>
      </c>
      <c r="B15" s="179">
        <v>3878.16</v>
      </c>
      <c r="C15" s="179">
        <v>3735.96</v>
      </c>
      <c r="D15" s="179">
        <v>38.24</v>
      </c>
      <c r="E15" s="177">
        <v>61325</v>
      </c>
      <c r="F15" s="179">
        <v>1068.9100000000001</v>
      </c>
      <c r="G15" s="179">
        <v>588.16999999999996</v>
      </c>
      <c r="H15" s="177">
        <v>2001</v>
      </c>
      <c r="I15" s="179">
        <v>259.81</v>
      </c>
      <c r="J15" s="177">
        <v>1588</v>
      </c>
      <c r="K15" s="179">
        <v>4321</v>
      </c>
      <c r="L15" s="179">
        <v>3126</v>
      </c>
      <c r="M15" s="179">
        <v>514.48</v>
      </c>
      <c r="N15" s="177">
        <v>28068</v>
      </c>
      <c r="O15" s="179">
        <v>9268.07</v>
      </c>
      <c r="P15" s="179">
        <v>7450.13</v>
      </c>
      <c r="Q15" s="179">
        <v>812.53</v>
      </c>
      <c r="R15" s="177">
        <v>90981</v>
      </c>
      <c r="S15" s="177">
        <v>2001</v>
      </c>
      <c r="T15" s="99" t="s">
        <v>733</v>
      </c>
      <c r="U15" s="179">
        <v>1133.1500000000001</v>
      </c>
      <c r="V15" s="179">
        <v>183.34</v>
      </c>
      <c r="W15" s="179">
        <v>949.41</v>
      </c>
      <c r="X15" s="177">
        <v>5769</v>
      </c>
      <c r="Y15" s="179">
        <v>636.39</v>
      </c>
      <c r="Z15" s="179">
        <v>748.34</v>
      </c>
      <c r="AA15" s="179">
        <v>-114.64</v>
      </c>
      <c r="AB15" s="177">
        <v>16475</v>
      </c>
    </row>
    <row r="16" spans="1:28" s="71" customFormat="1" ht="15" customHeight="1">
      <c r="A16" s="406">
        <v>2002</v>
      </c>
      <c r="B16" s="407">
        <v>3665.52</v>
      </c>
      <c r="C16" s="407">
        <v>3420.35</v>
      </c>
      <c r="D16" s="407">
        <v>19.88</v>
      </c>
      <c r="E16" s="406">
        <v>60169</v>
      </c>
      <c r="F16" s="407">
        <v>1061.9000000000001</v>
      </c>
      <c r="G16" s="407">
        <v>570.79</v>
      </c>
      <c r="H16" s="406">
        <v>2002</v>
      </c>
      <c r="I16" s="407">
        <v>224.08</v>
      </c>
      <c r="J16" s="406">
        <v>1305</v>
      </c>
      <c r="K16" s="407">
        <v>5021.55</v>
      </c>
      <c r="L16" s="407">
        <v>3930.87</v>
      </c>
      <c r="M16" s="407">
        <v>458.79</v>
      </c>
      <c r="N16" s="406">
        <v>28336</v>
      </c>
      <c r="O16" s="407">
        <v>9748.9699999999993</v>
      </c>
      <c r="P16" s="407">
        <v>7922.01</v>
      </c>
      <c r="Q16" s="407">
        <v>702.75</v>
      </c>
      <c r="R16" s="406">
        <v>89810</v>
      </c>
      <c r="S16" s="406">
        <v>2002</v>
      </c>
      <c r="T16" s="408" t="s">
        <v>734</v>
      </c>
      <c r="U16" s="407">
        <v>1725.62</v>
      </c>
      <c r="V16" s="407">
        <v>365.57</v>
      </c>
      <c r="W16" s="407">
        <v>760.05</v>
      </c>
      <c r="X16" s="406">
        <v>5576</v>
      </c>
      <c r="Y16" s="407">
        <v>738.53</v>
      </c>
      <c r="Z16" s="407">
        <v>768.85</v>
      </c>
      <c r="AA16" s="407">
        <v>-24.32</v>
      </c>
      <c r="AB16" s="406">
        <v>15837</v>
      </c>
    </row>
    <row r="17" spans="1:28" s="71" customFormat="1" ht="15" customHeight="1">
      <c r="A17" s="177">
        <v>2003</v>
      </c>
      <c r="B17" s="179">
        <v>4165.22</v>
      </c>
      <c r="C17" s="179">
        <v>3860.79</v>
      </c>
      <c r="D17" s="179">
        <v>68.209999999999994</v>
      </c>
      <c r="E17" s="177">
        <v>58629</v>
      </c>
      <c r="F17" s="179">
        <v>772.93</v>
      </c>
      <c r="G17" s="179">
        <v>252.27</v>
      </c>
      <c r="H17" s="177">
        <v>2003</v>
      </c>
      <c r="I17" s="179">
        <v>276.44</v>
      </c>
      <c r="J17" s="177">
        <v>1409</v>
      </c>
      <c r="K17" s="179">
        <v>5921.25</v>
      </c>
      <c r="L17" s="179">
        <v>4543.82</v>
      </c>
      <c r="M17" s="179">
        <v>475.59</v>
      </c>
      <c r="N17" s="177">
        <v>32576</v>
      </c>
      <c r="O17" s="179">
        <v>10859.4</v>
      </c>
      <c r="P17" s="179">
        <v>8656.8799999999992</v>
      </c>
      <c r="Q17" s="179">
        <v>820.24</v>
      </c>
      <c r="R17" s="177">
        <v>92614</v>
      </c>
      <c r="S17" s="177">
        <v>2003</v>
      </c>
      <c r="T17" s="99" t="s">
        <v>735</v>
      </c>
      <c r="U17" s="179">
        <v>2100.69</v>
      </c>
      <c r="V17" s="179">
        <v>1161.21</v>
      </c>
      <c r="W17" s="179">
        <v>939.48</v>
      </c>
      <c r="X17" s="177">
        <v>5461</v>
      </c>
      <c r="Y17" s="179">
        <v>693.26</v>
      </c>
      <c r="Z17" s="179">
        <v>773.15</v>
      </c>
      <c r="AA17" s="179">
        <v>-87.89</v>
      </c>
      <c r="AB17" s="177">
        <v>15300</v>
      </c>
    </row>
    <row r="18" spans="1:28" s="71" customFormat="1" ht="15" customHeight="1">
      <c r="A18" s="406">
        <v>2004</v>
      </c>
      <c r="B18" s="407">
        <v>4008.46</v>
      </c>
      <c r="C18" s="407">
        <v>3693.77</v>
      </c>
      <c r="D18" s="407">
        <v>-1904.72</v>
      </c>
      <c r="E18" s="406">
        <v>57588</v>
      </c>
      <c r="F18" s="407">
        <v>1294.25</v>
      </c>
      <c r="G18" s="407">
        <v>640.37</v>
      </c>
      <c r="H18" s="406">
        <v>2004</v>
      </c>
      <c r="I18" s="407">
        <v>392.01</v>
      </c>
      <c r="J18" s="406">
        <v>1394</v>
      </c>
      <c r="K18" s="407">
        <v>7305.97</v>
      </c>
      <c r="L18" s="407">
        <v>5293.89</v>
      </c>
      <c r="M18" s="407">
        <v>736.49</v>
      </c>
      <c r="N18" s="406">
        <v>34786</v>
      </c>
      <c r="O18" s="407">
        <v>12608.68</v>
      </c>
      <c r="P18" s="407">
        <v>9628.0300000000007</v>
      </c>
      <c r="Q18" s="407">
        <v>-776.22</v>
      </c>
      <c r="R18" s="406">
        <v>93768</v>
      </c>
      <c r="S18" s="406">
        <v>2004</v>
      </c>
      <c r="T18" s="408" t="s">
        <v>736</v>
      </c>
      <c r="U18" s="407">
        <v>2415.7800000000002</v>
      </c>
      <c r="V18" s="407">
        <v>523.91</v>
      </c>
      <c r="W18" s="407">
        <v>1891.87</v>
      </c>
      <c r="X18" s="406">
        <v>5596</v>
      </c>
      <c r="Y18" s="407">
        <v>646.38</v>
      </c>
      <c r="Z18" s="407">
        <v>854.92</v>
      </c>
      <c r="AA18" s="407">
        <v>-240.68</v>
      </c>
      <c r="AB18" s="406">
        <v>14350</v>
      </c>
    </row>
    <row r="19" spans="1:28" s="71" customFormat="1" ht="15" customHeight="1">
      <c r="A19" s="177">
        <v>2005</v>
      </c>
      <c r="B19" s="179">
        <v>4836.34</v>
      </c>
      <c r="C19" s="179">
        <v>3814.7</v>
      </c>
      <c r="D19" s="179">
        <v>-1209.4100000000001</v>
      </c>
      <c r="E19" s="177">
        <v>56417</v>
      </c>
      <c r="F19" s="179">
        <v>1367.59</v>
      </c>
      <c r="G19" s="179">
        <v>529.5</v>
      </c>
      <c r="H19" s="177">
        <v>2005</v>
      </c>
      <c r="I19" s="179">
        <v>470.18</v>
      </c>
      <c r="J19" s="177">
        <v>1713</v>
      </c>
      <c r="K19" s="179">
        <v>9140.17</v>
      </c>
      <c r="L19" s="179">
        <v>6599.97</v>
      </c>
      <c r="M19" s="179">
        <v>954.71</v>
      </c>
      <c r="N19" s="177">
        <v>36715</v>
      </c>
      <c r="O19" s="179">
        <v>15344.1</v>
      </c>
      <c r="P19" s="179">
        <v>10944.17</v>
      </c>
      <c r="Q19" s="179">
        <v>215.48</v>
      </c>
      <c r="R19" s="177">
        <v>94845</v>
      </c>
      <c r="S19" s="177">
        <v>2005</v>
      </c>
      <c r="T19" s="99" t="s">
        <v>741</v>
      </c>
      <c r="U19" s="179">
        <v>3621.5</v>
      </c>
      <c r="V19" s="179">
        <v>1217.48</v>
      </c>
      <c r="W19" s="179">
        <f>U19-V19</f>
        <v>2404.02</v>
      </c>
      <c r="X19" s="177">
        <v>5481</v>
      </c>
      <c r="Y19" s="179">
        <v>1026.0899999999999</v>
      </c>
      <c r="Z19" s="179">
        <v>1088.9000000000001</v>
      </c>
      <c r="AA19" s="179">
        <v>-123</v>
      </c>
      <c r="AB19" s="177">
        <v>15406</v>
      </c>
    </row>
    <row r="20" spans="1:28" s="71" customFormat="1" ht="15" customHeight="1">
      <c r="A20" s="406">
        <v>2006</v>
      </c>
      <c r="B20" s="406">
        <v>5657.36</v>
      </c>
      <c r="C20" s="406">
        <v>4551.7700000000004</v>
      </c>
      <c r="D20" s="406">
        <v>-4415.92</v>
      </c>
      <c r="E20" s="406">
        <v>54591</v>
      </c>
      <c r="F20" s="407">
        <v>2372</v>
      </c>
      <c r="G20" s="406">
        <v>988.01</v>
      </c>
      <c r="H20" s="406">
        <v>2006</v>
      </c>
      <c r="I20" s="406">
        <v>624.12</v>
      </c>
      <c r="J20" s="406">
        <v>2384</v>
      </c>
      <c r="K20" s="406">
        <v>12757.48</v>
      </c>
      <c r="L20" s="406">
        <v>9400.6200000000008</v>
      </c>
      <c r="M20" s="406">
        <v>931.54</v>
      </c>
      <c r="N20" s="406">
        <v>42512</v>
      </c>
      <c r="O20" s="406">
        <v>20786.84</v>
      </c>
      <c r="P20" s="407">
        <v>14940.4</v>
      </c>
      <c r="Q20" s="406">
        <v>-2860.26</v>
      </c>
      <c r="R20" s="406">
        <v>99487</v>
      </c>
      <c r="S20" s="406">
        <v>2006</v>
      </c>
      <c r="T20" s="409" t="s">
        <v>750</v>
      </c>
      <c r="U20" s="410">
        <v>4279.41</v>
      </c>
      <c r="V20" s="410">
        <v>818.83</v>
      </c>
      <c r="W20" s="410">
        <v>3460.58</v>
      </c>
      <c r="X20" s="410">
        <v>5402</v>
      </c>
      <c r="Y20" s="411">
        <v>1234.32</v>
      </c>
      <c r="Z20" s="410">
        <v>1251.53</v>
      </c>
      <c r="AA20" s="411">
        <v>-143.62</v>
      </c>
      <c r="AB20" s="410">
        <v>15515</v>
      </c>
    </row>
    <row r="21" spans="1:28" s="71" customFormat="1" ht="15" customHeight="1">
      <c r="A21" s="177">
        <v>2007</v>
      </c>
      <c r="B21" s="177">
        <v>4713.37</v>
      </c>
      <c r="C21" s="177">
        <v>3243.54</v>
      </c>
      <c r="D21" s="179">
        <v>-809.1</v>
      </c>
      <c r="E21" s="177">
        <v>52177</v>
      </c>
      <c r="F21" s="179">
        <v>2656.66</v>
      </c>
      <c r="G21" s="177">
        <v>1266.5899999999999</v>
      </c>
      <c r="H21" s="177">
        <v>2007</v>
      </c>
      <c r="I21" s="177">
        <v>723.33</v>
      </c>
      <c r="J21" s="177">
        <v>2388</v>
      </c>
      <c r="K21" s="177">
        <v>16256.55</v>
      </c>
      <c r="L21" s="177">
        <v>11380.48</v>
      </c>
      <c r="M21" s="177">
        <v>1995.75</v>
      </c>
      <c r="N21" s="177">
        <v>45074</v>
      </c>
      <c r="O21" s="179">
        <v>23392.9</v>
      </c>
      <c r="P21" s="179">
        <v>15872.78</v>
      </c>
      <c r="Q21" s="177">
        <v>1909.98</v>
      </c>
      <c r="R21" s="177">
        <v>99639</v>
      </c>
      <c r="S21" s="177">
        <v>2007</v>
      </c>
      <c r="T21" s="71" t="s">
        <v>490</v>
      </c>
      <c r="U21" s="181">
        <v>4062.03</v>
      </c>
      <c r="V21" s="180">
        <v>909.2</v>
      </c>
      <c r="W21" s="181">
        <v>3152.83</v>
      </c>
      <c r="X21" s="181">
        <f>4031+1273</f>
        <v>5304</v>
      </c>
      <c r="Y21" s="181">
        <v>1472.26</v>
      </c>
      <c r="Z21" s="181">
        <v>1497.07</v>
      </c>
      <c r="AA21" s="181">
        <v>-167.17</v>
      </c>
      <c r="AB21" s="181">
        <v>15400</v>
      </c>
    </row>
    <row r="22" spans="1:28" s="181" customFormat="1" ht="15" customHeight="1">
      <c r="A22" s="406">
        <v>2008</v>
      </c>
      <c r="B22" s="406">
        <v>6750.95</v>
      </c>
      <c r="C22" s="406">
        <v>5227.88</v>
      </c>
      <c r="D22" s="406">
        <v>897.68</v>
      </c>
      <c r="E22" s="406">
        <v>53786</v>
      </c>
      <c r="F22" s="407">
        <v>3235.57</v>
      </c>
      <c r="G22" s="407">
        <v>1620.56</v>
      </c>
      <c r="H22" s="406">
        <v>2008</v>
      </c>
      <c r="I22" s="412">
        <v>1138.42</v>
      </c>
      <c r="J22" s="413">
        <v>2384</v>
      </c>
      <c r="K22" s="407">
        <v>21172.7</v>
      </c>
      <c r="L22" s="407">
        <v>14757.53</v>
      </c>
      <c r="M22" s="412">
        <v>2818.66</v>
      </c>
      <c r="N22" s="413">
        <v>46308</v>
      </c>
      <c r="O22" s="407">
        <v>31159.22</v>
      </c>
      <c r="P22" s="407">
        <v>21605.97</v>
      </c>
      <c r="Q22" s="407">
        <v>4854.76</v>
      </c>
      <c r="R22" s="413">
        <v>102478</v>
      </c>
      <c r="S22" s="406">
        <v>2008</v>
      </c>
      <c r="T22" s="409" t="s">
        <v>87</v>
      </c>
      <c r="U22" s="410">
        <v>3088.43</v>
      </c>
      <c r="V22" s="410">
        <v>582.63</v>
      </c>
      <c r="W22" s="411">
        <v>2505.8000000000002</v>
      </c>
      <c r="X22" s="410">
        <v>5259</v>
      </c>
      <c r="Y22" s="411">
        <v>1944.9</v>
      </c>
      <c r="Z22" s="410">
        <v>1685.01</v>
      </c>
      <c r="AA22" s="410">
        <v>40.159999999999997</v>
      </c>
      <c r="AB22" s="410">
        <v>15388</v>
      </c>
    </row>
    <row r="23" spans="1:28" s="181" customFormat="1" ht="15" customHeight="1">
      <c r="A23" s="177">
        <v>2009</v>
      </c>
      <c r="B23" s="177">
        <v>8026.68</v>
      </c>
      <c r="C23" s="177">
        <v>6083.51</v>
      </c>
      <c r="D23" s="177">
        <v>931.35</v>
      </c>
      <c r="E23" s="177">
        <v>50600</v>
      </c>
      <c r="F23" s="179">
        <v>2610.9499999999998</v>
      </c>
      <c r="G23" s="179">
        <v>1401.57</v>
      </c>
      <c r="H23" s="177">
        <v>2009</v>
      </c>
      <c r="I23" s="179">
        <v>708.78</v>
      </c>
      <c r="J23" s="187">
        <v>2760</v>
      </c>
      <c r="K23" s="179">
        <v>26262.19</v>
      </c>
      <c r="L23" s="179">
        <v>17911.02</v>
      </c>
      <c r="M23" s="179">
        <v>3947.72</v>
      </c>
      <c r="N23" s="187">
        <v>59874</v>
      </c>
      <c r="O23" s="179">
        <f t="shared" ref="O23:P25" si="0">B23+F23+K23</f>
        <v>36899.82</v>
      </c>
      <c r="P23" s="179">
        <f t="shared" si="0"/>
        <v>25396.1</v>
      </c>
      <c r="Q23" s="179">
        <f t="shared" ref="Q23:R25" si="1">D23+I23+M23</f>
        <v>5587.85</v>
      </c>
      <c r="R23" s="187">
        <f t="shared" si="1"/>
        <v>113234</v>
      </c>
      <c r="S23" s="177">
        <v>2009</v>
      </c>
      <c r="T23" s="71" t="s">
        <v>83</v>
      </c>
      <c r="U23" s="181">
        <v>1926.92</v>
      </c>
      <c r="V23" s="180">
        <v>639.1</v>
      </c>
      <c r="W23" s="180">
        <v>1287.82</v>
      </c>
      <c r="X23" s="181">
        <f>3914+1157</f>
        <v>5071</v>
      </c>
      <c r="Y23" s="181">
        <v>2327.42</v>
      </c>
      <c r="Z23" s="181">
        <v>2053.65</v>
      </c>
      <c r="AA23" s="181">
        <v>105.76</v>
      </c>
      <c r="AB23" s="181">
        <v>15293</v>
      </c>
    </row>
    <row r="24" spans="1:28" s="181" customFormat="1" ht="15" customHeight="1">
      <c r="A24" s="406">
        <v>2010</v>
      </c>
      <c r="B24" s="406">
        <v>10260.459999999999</v>
      </c>
      <c r="C24" s="406">
        <v>7163.33</v>
      </c>
      <c r="D24" s="406">
        <v>1176.26</v>
      </c>
      <c r="E24" s="406">
        <v>50069</v>
      </c>
      <c r="F24" s="407">
        <v>2632.77</v>
      </c>
      <c r="G24" s="407">
        <v>1338.96</v>
      </c>
      <c r="H24" s="406">
        <v>2010</v>
      </c>
      <c r="I24" s="407">
        <v>645.62</v>
      </c>
      <c r="J24" s="413">
        <v>3143</v>
      </c>
      <c r="K24" s="407">
        <v>32873.14</v>
      </c>
      <c r="L24" s="407">
        <v>20435.560000000001</v>
      </c>
      <c r="M24" s="407">
        <v>6032.03</v>
      </c>
      <c r="N24" s="413">
        <v>68720</v>
      </c>
      <c r="O24" s="407">
        <f t="shared" si="0"/>
        <v>45766.369999999995</v>
      </c>
      <c r="P24" s="407">
        <f t="shared" si="0"/>
        <v>28937.850000000002</v>
      </c>
      <c r="Q24" s="407">
        <f t="shared" si="1"/>
        <v>7853.91</v>
      </c>
      <c r="R24" s="413">
        <f t="shared" si="1"/>
        <v>121932</v>
      </c>
      <c r="S24" s="406">
        <v>2010</v>
      </c>
      <c r="T24" s="409" t="s">
        <v>225</v>
      </c>
      <c r="U24" s="410">
        <v>9862.5400000000009</v>
      </c>
      <c r="V24" s="411">
        <v>1019.94</v>
      </c>
      <c r="W24" s="410">
        <v>8842.59</v>
      </c>
      <c r="X24" s="410">
        <f>3848+1030</f>
        <v>4878</v>
      </c>
      <c r="Y24" s="411">
        <v>2610.5</v>
      </c>
      <c r="Z24" s="411">
        <v>2494.17</v>
      </c>
      <c r="AA24" s="410">
        <v>-58.41</v>
      </c>
      <c r="AB24" s="410">
        <v>14367</v>
      </c>
    </row>
    <row r="25" spans="1:28" s="457" customFormat="1" ht="15" customHeight="1">
      <c r="A25" s="616">
        <v>2011</v>
      </c>
      <c r="B25" s="617">
        <v>13224.12</v>
      </c>
      <c r="C25" s="617">
        <v>8569.5</v>
      </c>
      <c r="D25" s="616">
        <v>1799.33</v>
      </c>
      <c r="E25" s="616">
        <v>54025</v>
      </c>
      <c r="F25" s="617">
        <v>4378.41</v>
      </c>
      <c r="G25" s="617">
        <v>1925.6</v>
      </c>
      <c r="H25" s="616">
        <v>2011</v>
      </c>
      <c r="I25" s="617">
        <v>781.04</v>
      </c>
      <c r="J25" s="618">
        <v>3137</v>
      </c>
      <c r="K25" s="617">
        <v>41050.18</v>
      </c>
      <c r="L25" s="617">
        <v>29079.7</v>
      </c>
      <c r="M25" s="617">
        <v>6999.28</v>
      </c>
      <c r="N25" s="618">
        <v>75649</v>
      </c>
      <c r="O25" s="617">
        <f t="shared" si="0"/>
        <v>58652.71</v>
      </c>
      <c r="P25" s="617">
        <f t="shared" si="0"/>
        <v>39574.800000000003</v>
      </c>
      <c r="Q25" s="179">
        <f t="shared" si="1"/>
        <v>9579.65</v>
      </c>
      <c r="R25" s="187">
        <f t="shared" si="1"/>
        <v>132811</v>
      </c>
      <c r="S25" s="616">
        <v>2011</v>
      </c>
      <c r="T25" s="219" t="s">
        <v>1394</v>
      </c>
      <c r="U25" s="457">
        <v>8522.74</v>
      </c>
      <c r="V25" s="478">
        <v>1490.9978000000001</v>
      </c>
      <c r="W25" s="457">
        <v>7031.75</v>
      </c>
      <c r="X25" s="457">
        <v>4958</v>
      </c>
      <c r="Y25" s="478">
        <v>1818.91</v>
      </c>
      <c r="Z25" s="478">
        <v>1996.95</v>
      </c>
      <c r="AA25" s="478">
        <v>-208.04</v>
      </c>
      <c r="AB25" s="457">
        <v>13879</v>
      </c>
    </row>
    <row r="26" spans="1:28" s="457" customFormat="1" ht="15" customHeight="1">
      <c r="A26" s="406">
        <v>2012</v>
      </c>
      <c r="B26" s="407">
        <v>15725.253306500001</v>
      </c>
      <c r="C26" s="407">
        <v>11794.0446276</v>
      </c>
      <c r="D26" s="407">
        <v>-6522.876828200001</v>
      </c>
      <c r="E26" s="406">
        <v>57989</v>
      </c>
      <c r="F26" s="407">
        <v>5603.3493125000005</v>
      </c>
      <c r="G26" s="407">
        <v>2796.43</v>
      </c>
      <c r="H26" s="406">
        <v>2012</v>
      </c>
      <c r="I26" s="407">
        <v>1465.1193717000001</v>
      </c>
      <c r="J26" s="413">
        <v>3140</v>
      </c>
      <c r="K26" s="407">
        <v>52221.363523699983</v>
      </c>
      <c r="L26" s="407">
        <v>38973.794740899997</v>
      </c>
      <c r="M26" s="407">
        <v>3962.6805902000001</v>
      </c>
      <c r="N26" s="413">
        <v>81944</v>
      </c>
      <c r="O26" s="407">
        <f t="shared" ref="O26:P29" si="2">B26+F26+K26</f>
        <v>73549.966142699981</v>
      </c>
      <c r="P26" s="407">
        <f t="shared" si="2"/>
        <v>53564.269368499998</v>
      </c>
      <c r="Q26" s="407">
        <f t="shared" ref="Q26:R29" si="3">D26+I26+M26</f>
        <v>-1095.0768663000013</v>
      </c>
      <c r="R26" s="413">
        <f t="shared" si="3"/>
        <v>143073</v>
      </c>
      <c r="S26" s="406">
        <v>2012</v>
      </c>
      <c r="T26" s="704" t="s">
        <v>1427</v>
      </c>
      <c r="U26" s="410" t="s">
        <v>430</v>
      </c>
      <c r="V26" s="411" t="s">
        <v>430</v>
      </c>
      <c r="W26" s="410" t="s">
        <v>430</v>
      </c>
      <c r="X26" s="410" t="s">
        <v>430</v>
      </c>
      <c r="Y26" s="410">
        <f>252.03+1340.23</f>
        <v>1592.26</v>
      </c>
      <c r="Z26" s="410">
        <f>149.23+1079.22</f>
        <v>1228.45</v>
      </c>
      <c r="AA26" s="410">
        <f>83.7+2.79</f>
        <v>86.490000000000009</v>
      </c>
      <c r="AB26" s="410">
        <f>857+1657</f>
        <v>2514</v>
      </c>
    </row>
    <row r="27" spans="1:28" s="457" customFormat="1" ht="15" customHeight="1">
      <c r="A27" s="616">
        <v>2013</v>
      </c>
      <c r="B27" s="617">
        <v>16728.024012099999</v>
      </c>
      <c r="C27" s="617">
        <v>13949.002911900001</v>
      </c>
      <c r="D27" s="617">
        <v>2258.4407385999998</v>
      </c>
      <c r="E27" s="616">
        <v>58049</v>
      </c>
      <c r="F27" s="617">
        <v>5985.9425159000011</v>
      </c>
      <c r="G27" s="617">
        <v>3007.3867308999997</v>
      </c>
      <c r="H27" s="616">
        <v>2013</v>
      </c>
      <c r="I27" s="617">
        <v>1464.6336643</v>
      </c>
      <c r="J27" s="618">
        <v>3330</v>
      </c>
      <c r="K27" s="617">
        <v>57658.748551799996</v>
      </c>
      <c r="L27" s="617">
        <v>44904.274183500005</v>
      </c>
      <c r="M27" s="617">
        <v>4644.2722049999993</v>
      </c>
      <c r="N27" s="618">
        <v>85888</v>
      </c>
      <c r="O27" s="617">
        <f t="shared" si="2"/>
        <v>80372.715079799993</v>
      </c>
      <c r="P27" s="617">
        <f t="shared" si="2"/>
        <v>61860.663826300006</v>
      </c>
      <c r="Q27" s="617">
        <f t="shared" si="3"/>
        <v>8367.3466078999991</v>
      </c>
      <c r="R27" s="618">
        <f t="shared" si="3"/>
        <v>147267</v>
      </c>
      <c r="S27" s="616">
        <v>2013</v>
      </c>
      <c r="T27" s="703" t="s">
        <v>1107</v>
      </c>
      <c r="U27" s="457">
        <v>1685.34</v>
      </c>
      <c r="V27" s="478">
        <v>1380.9365</v>
      </c>
      <c r="W27" s="457">
        <v>304.41000000000003</v>
      </c>
      <c r="X27" s="457">
        <v>5239</v>
      </c>
      <c r="Y27" s="478">
        <v>1794.8927682999999</v>
      </c>
      <c r="Z27" s="478">
        <v>2210.8702908</v>
      </c>
      <c r="AA27" s="478">
        <v>-448.5010825</v>
      </c>
      <c r="AB27" s="457">
        <v>15034</v>
      </c>
    </row>
    <row r="28" spans="1:28" s="457" customFormat="1" ht="15" customHeight="1">
      <c r="A28" s="406">
        <v>2014</v>
      </c>
      <c r="B28" s="407">
        <v>18486.490000000002</v>
      </c>
      <c r="C28" s="407">
        <v>15256.82</v>
      </c>
      <c r="D28" s="407">
        <v>1227.44</v>
      </c>
      <c r="E28" s="406">
        <v>56187</v>
      </c>
      <c r="F28" s="407">
        <v>5906.7</v>
      </c>
      <c r="G28" s="407">
        <v>2721.73</v>
      </c>
      <c r="H28" s="406">
        <v>2014</v>
      </c>
      <c r="I28" s="407">
        <v>1706.03</v>
      </c>
      <c r="J28" s="413">
        <v>3880</v>
      </c>
      <c r="K28" s="407">
        <v>61356.65</v>
      </c>
      <c r="L28" s="407">
        <v>46637.05</v>
      </c>
      <c r="M28" s="407">
        <v>5511.02</v>
      </c>
      <c r="N28" s="413">
        <v>93624</v>
      </c>
      <c r="O28" s="407">
        <f t="shared" si="2"/>
        <v>85749.84</v>
      </c>
      <c r="P28" s="407">
        <f t="shared" si="2"/>
        <v>64615.600000000006</v>
      </c>
      <c r="Q28" s="407">
        <f t="shared" si="3"/>
        <v>8444.4900000000016</v>
      </c>
      <c r="R28" s="413">
        <f t="shared" si="3"/>
        <v>153691</v>
      </c>
      <c r="S28" s="406">
        <v>2014</v>
      </c>
      <c r="T28" s="704">
        <v>2013</v>
      </c>
      <c r="U28" s="410" t="s">
        <v>430</v>
      </c>
      <c r="V28" s="411" t="s">
        <v>430</v>
      </c>
      <c r="W28" s="410" t="s">
        <v>430</v>
      </c>
      <c r="X28" s="410" t="s">
        <v>430</v>
      </c>
      <c r="Y28" s="411">
        <v>2163.7902678</v>
      </c>
      <c r="Z28" s="411">
        <v>1791.2615637000001</v>
      </c>
      <c r="AA28" s="411">
        <v>48.857708699999996</v>
      </c>
      <c r="AB28" s="410">
        <v>2971</v>
      </c>
    </row>
    <row r="29" spans="1:28" s="457" customFormat="1" ht="15" customHeight="1">
      <c r="A29" s="181">
        <v>2015</v>
      </c>
      <c r="B29" s="109">
        <v>20782.27</v>
      </c>
      <c r="C29" s="109">
        <v>17852.88</v>
      </c>
      <c r="D29" s="883">
        <v>365.93</v>
      </c>
      <c r="E29" s="884">
        <v>58286</v>
      </c>
      <c r="F29" s="482">
        <v>5407.47</v>
      </c>
      <c r="G29" s="482">
        <v>2514.02</v>
      </c>
      <c r="H29" s="181">
        <v>2015</v>
      </c>
      <c r="I29" s="482">
        <v>1695.81</v>
      </c>
      <c r="J29" s="885">
        <v>3876</v>
      </c>
      <c r="K29" s="482">
        <v>64033.43</v>
      </c>
      <c r="L29" s="482">
        <v>48463.98</v>
      </c>
      <c r="M29" s="482">
        <v>6145.79</v>
      </c>
      <c r="N29" s="885">
        <v>92742</v>
      </c>
      <c r="O29" s="617">
        <f t="shared" si="2"/>
        <v>90223.17</v>
      </c>
      <c r="P29" s="617">
        <f t="shared" si="2"/>
        <v>68830.880000000005</v>
      </c>
      <c r="Q29" s="617">
        <f t="shared" si="3"/>
        <v>8207.5299999999988</v>
      </c>
      <c r="R29" s="618">
        <f t="shared" si="3"/>
        <v>154904</v>
      </c>
      <c r="S29" s="181">
        <v>2015</v>
      </c>
      <c r="T29" s="219" t="s">
        <v>1347</v>
      </c>
      <c r="U29" s="457">
        <v>5040.63</v>
      </c>
      <c r="V29" s="478">
        <v>1688.81</v>
      </c>
      <c r="W29" s="457">
        <v>3351.83</v>
      </c>
      <c r="X29" s="457">
        <v>5470</v>
      </c>
      <c r="Y29" s="478">
        <v>2035.3</v>
      </c>
      <c r="Z29" s="457">
        <v>2539.12</v>
      </c>
      <c r="AA29" s="457">
        <v>-3504.21</v>
      </c>
      <c r="AB29" s="457">
        <v>14237</v>
      </c>
    </row>
    <row r="30" spans="1:28" s="457" customFormat="1" ht="15" customHeight="1">
      <c r="A30" s="410">
        <v>2016</v>
      </c>
      <c r="B30" s="969">
        <v>20405.580000000002</v>
      </c>
      <c r="C30" s="969">
        <v>18437.03</v>
      </c>
      <c r="D30" s="970">
        <v>-363.99</v>
      </c>
      <c r="E30" s="971">
        <v>54405</v>
      </c>
      <c r="F30" s="487">
        <v>4405.96</v>
      </c>
      <c r="G30" s="487">
        <v>2009.23</v>
      </c>
      <c r="H30" s="410">
        <v>2016</v>
      </c>
      <c r="I30" s="487">
        <v>1385.13</v>
      </c>
      <c r="J30" s="972">
        <v>3997</v>
      </c>
      <c r="K30" s="487">
        <v>66053.23</v>
      </c>
      <c r="L30" s="487">
        <v>48304.639999999999</v>
      </c>
      <c r="M30" s="487">
        <v>7075.22</v>
      </c>
      <c r="N30" s="972">
        <v>101622</v>
      </c>
      <c r="O30" s="407">
        <f t="shared" ref="O30" si="4">B30+F30+K30</f>
        <v>90864.76999999999</v>
      </c>
      <c r="P30" s="407">
        <f t="shared" ref="P30" si="5">C30+G30+L30</f>
        <v>68750.899999999994</v>
      </c>
      <c r="Q30" s="407">
        <f t="shared" ref="Q30" si="6">D30+I30+M30</f>
        <v>8096.3600000000006</v>
      </c>
      <c r="R30" s="413">
        <f t="shared" ref="R30" si="7">E30+J30+N30</f>
        <v>160024</v>
      </c>
      <c r="S30" s="410">
        <v>2016</v>
      </c>
      <c r="T30" s="704">
        <v>2014</v>
      </c>
      <c r="U30" s="410" t="s">
        <v>430</v>
      </c>
      <c r="V30" s="411" t="s">
        <v>430</v>
      </c>
      <c r="W30" s="410" t="s">
        <v>430</v>
      </c>
      <c r="X30" s="410" t="s">
        <v>430</v>
      </c>
      <c r="Y30" s="410">
        <v>1988.85</v>
      </c>
      <c r="Z30" s="410">
        <v>1951.38</v>
      </c>
      <c r="AA30" s="410">
        <v>2.91</v>
      </c>
      <c r="AB30" s="410">
        <v>3115</v>
      </c>
    </row>
    <row r="31" spans="1:28" ht="15" customHeight="1">
      <c r="A31" s="181">
        <v>2017</v>
      </c>
      <c r="B31" s="181">
        <v>20829.87</v>
      </c>
      <c r="C31" s="181">
        <v>17032.490000000002</v>
      </c>
      <c r="D31" s="181">
        <v>1091.04</v>
      </c>
      <c r="E31" s="181">
        <v>51483</v>
      </c>
      <c r="F31" s="181">
        <v>4369.22</v>
      </c>
      <c r="G31" s="181">
        <v>2027.35</v>
      </c>
      <c r="H31" s="181">
        <v>2017</v>
      </c>
      <c r="I31" s="181">
        <v>1324.35</v>
      </c>
      <c r="J31" s="181">
        <v>4003</v>
      </c>
      <c r="K31" s="617">
        <v>71888.84</v>
      </c>
      <c r="L31" s="617">
        <v>53138.79</v>
      </c>
      <c r="M31" s="617">
        <v>6877.83</v>
      </c>
      <c r="N31" s="618">
        <v>107255</v>
      </c>
      <c r="O31" s="617">
        <f t="shared" ref="O31" si="8">B31+F31+K31</f>
        <v>97087.93</v>
      </c>
      <c r="P31" s="617">
        <f t="shared" ref="P31" si="9">C31+G31+L31</f>
        <v>72198.63</v>
      </c>
      <c r="Q31" s="617">
        <f t="shared" ref="Q31" si="10">D31+I31+M31</f>
        <v>9293.2199999999993</v>
      </c>
      <c r="R31" s="618">
        <f t="shared" ref="R31" si="11">E31+J31+N31</f>
        <v>162741</v>
      </c>
      <c r="S31" s="616">
        <v>2017</v>
      </c>
      <c r="T31" s="219" t="s">
        <v>1406</v>
      </c>
      <c r="U31" s="457">
        <v>2807.48</v>
      </c>
      <c r="V31" s="478">
        <v>5430.4471999999996</v>
      </c>
      <c r="W31" s="478">
        <v>-2622.97</v>
      </c>
      <c r="X31" s="457">
        <v>6067</v>
      </c>
      <c r="Y31" s="457">
        <v>2105.12</v>
      </c>
      <c r="Z31" s="457">
        <v>2551.56</v>
      </c>
      <c r="AA31" s="478">
        <v>-247.5</v>
      </c>
      <c r="AB31" s="457">
        <v>14094</v>
      </c>
    </row>
    <row r="32" spans="1:28" ht="15" customHeight="1">
      <c r="A32" s="410">
        <v>2018</v>
      </c>
      <c r="B32" s="410">
        <v>21746.61</v>
      </c>
      <c r="C32" s="410">
        <v>17483.86</v>
      </c>
      <c r="D32" s="410">
        <v>113.45</v>
      </c>
      <c r="E32" s="410">
        <v>49552</v>
      </c>
      <c r="F32" s="410">
        <v>5123.6499999999996</v>
      </c>
      <c r="G32" s="410">
        <v>2321.98</v>
      </c>
      <c r="H32" s="410">
        <v>2018</v>
      </c>
      <c r="I32" s="410">
        <v>1630.73</v>
      </c>
      <c r="J32" s="410">
        <v>3935</v>
      </c>
      <c r="K32" s="407">
        <v>84994.49</v>
      </c>
      <c r="L32" s="407">
        <v>65262.559999999998</v>
      </c>
      <c r="M32" s="407">
        <v>7866.64</v>
      </c>
      <c r="N32" s="413">
        <v>114080</v>
      </c>
      <c r="O32" s="407">
        <f t="shared" ref="O32" si="12">B32+F32+K32</f>
        <v>111864.75</v>
      </c>
      <c r="P32" s="407">
        <f t="shared" ref="P32" si="13">C32+G32+L32</f>
        <v>85068.4</v>
      </c>
      <c r="Q32" s="407">
        <f t="shared" ref="Q32" si="14">D32+I32+M32</f>
        <v>9610.82</v>
      </c>
      <c r="R32" s="413">
        <f t="shared" ref="R32" si="15">E32+J32+N32</f>
        <v>167567</v>
      </c>
      <c r="S32" s="406">
        <v>2018</v>
      </c>
      <c r="T32" s="409" t="s">
        <v>1560</v>
      </c>
      <c r="U32" s="410">
        <v>3502.18</v>
      </c>
      <c r="V32" s="411">
        <v>3349.1619999999998</v>
      </c>
      <c r="W32" s="411">
        <v>153.02000000000001</v>
      </c>
      <c r="X32" s="410">
        <v>5726</v>
      </c>
      <c r="Y32" s="411">
        <v>2060.8000000000002</v>
      </c>
      <c r="Z32" s="411">
        <v>2816.86</v>
      </c>
      <c r="AA32" s="410">
        <v>-674.71</v>
      </c>
      <c r="AB32" s="410">
        <v>13200</v>
      </c>
    </row>
    <row r="33" spans="1:28" ht="15" customHeight="1" thickBot="1">
      <c r="A33" s="1065">
        <v>2019</v>
      </c>
      <c r="B33" s="1065">
        <v>22230.95</v>
      </c>
      <c r="C33" s="1065">
        <v>18888.73</v>
      </c>
      <c r="D33" s="1427">
        <v>155.6</v>
      </c>
      <c r="E33" s="1065">
        <v>52002</v>
      </c>
      <c r="F33" s="1065">
        <v>7224.31</v>
      </c>
      <c r="G33" s="1065">
        <v>3352.81</v>
      </c>
      <c r="H33" s="1065">
        <v>2019</v>
      </c>
      <c r="I33" s="1065">
        <v>2365.71</v>
      </c>
      <c r="J33" s="1065">
        <v>3886</v>
      </c>
      <c r="K33" s="1242">
        <v>97952.06</v>
      </c>
      <c r="L33" s="1242">
        <v>75408.59</v>
      </c>
      <c r="M33" s="1242">
        <v>7018.84</v>
      </c>
      <c r="N33" s="1243">
        <v>123186</v>
      </c>
      <c r="O33" s="1242">
        <v>127407.31</v>
      </c>
      <c r="P33" s="1242">
        <v>97650.13</v>
      </c>
      <c r="Q33" s="1242">
        <v>9540.15</v>
      </c>
      <c r="R33" s="1243">
        <v>179074</v>
      </c>
      <c r="S33" s="1244">
        <v>2019</v>
      </c>
      <c r="T33" s="219" t="s">
        <v>1596</v>
      </c>
      <c r="U33" s="478">
        <v>10866.435799999999</v>
      </c>
      <c r="V33" s="478">
        <v>3379.3724000000002</v>
      </c>
      <c r="W33" s="478">
        <f>U33-V33</f>
        <v>7487.0633999999991</v>
      </c>
      <c r="X33" s="457">
        <v>5664</v>
      </c>
      <c r="Y33" s="478">
        <v>2155</v>
      </c>
      <c r="Z33" s="478">
        <v>2921.68</v>
      </c>
      <c r="AA33" s="457">
        <v>-555.75</v>
      </c>
      <c r="AB33" s="457">
        <v>12286</v>
      </c>
    </row>
    <row r="34" spans="1:28" ht="15" customHeight="1">
      <c r="K34" s="85"/>
      <c r="L34" s="85"/>
      <c r="M34" s="85"/>
      <c r="N34" s="85"/>
      <c r="O34" s="85"/>
      <c r="P34" s="85"/>
      <c r="Q34" s="85"/>
      <c r="R34" s="85"/>
      <c r="S34" s="85"/>
      <c r="T34" s="409" t="s">
        <v>1756</v>
      </c>
      <c r="U34" s="411">
        <v>14247.9123</v>
      </c>
      <c r="V34" s="411">
        <v>4583.1831000000002</v>
      </c>
      <c r="W34" s="411">
        <f>U34-V34</f>
        <v>9664.7291999999998</v>
      </c>
      <c r="X34" s="410">
        <v>5741</v>
      </c>
      <c r="Y34" s="411">
        <v>1952.69</v>
      </c>
      <c r="Z34" s="411">
        <v>2861.6</v>
      </c>
      <c r="AA34" s="410">
        <v>-610.83000000000004</v>
      </c>
      <c r="AB34" s="410">
        <v>12470</v>
      </c>
    </row>
    <row r="35" spans="1:28" ht="15" customHeight="1">
      <c r="A35" s="705" t="s">
        <v>541</v>
      </c>
      <c r="B35" s="706" t="s">
        <v>1638</v>
      </c>
      <c r="C35" s="31"/>
      <c r="D35" s="617"/>
      <c r="E35" s="616"/>
      <c r="F35" s="617"/>
      <c r="G35" s="617"/>
      <c r="H35" s="616"/>
      <c r="I35" s="617"/>
      <c r="J35" s="618"/>
      <c r="K35" s="85"/>
      <c r="L35" s="85"/>
      <c r="M35" s="85"/>
      <c r="N35" s="85"/>
      <c r="O35" s="85"/>
      <c r="P35" s="85"/>
      <c r="Q35" s="85"/>
      <c r="R35" s="85"/>
      <c r="S35" s="85"/>
      <c r="T35" s="219" t="s">
        <v>1904</v>
      </c>
      <c r="U35" s="478">
        <v>8954.8858999999993</v>
      </c>
      <c r="V35" s="478">
        <v>3142.6428999999998</v>
      </c>
      <c r="W35" s="478">
        <f>U35-V35</f>
        <v>5812.2429999999995</v>
      </c>
      <c r="X35" s="457">
        <v>6369</v>
      </c>
      <c r="Y35" s="478">
        <v>1983.63</v>
      </c>
      <c r="Z35" s="478">
        <v>3057.25</v>
      </c>
      <c r="AA35" s="457">
        <v>-704.27</v>
      </c>
      <c r="AB35" s="457">
        <v>12156</v>
      </c>
    </row>
    <row r="36" spans="1:28" ht="12.75" customHeight="1" thickBot="1">
      <c r="A36" s="705"/>
      <c r="B36" s="2229" t="s">
        <v>1597</v>
      </c>
      <c r="C36" s="2229"/>
      <c r="D36" s="2229"/>
      <c r="E36" s="2229"/>
      <c r="F36" s="1034"/>
      <c r="G36" s="1034"/>
      <c r="H36" s="1034"/>
      <c r="I36" s="1034"/>
      <c r="J36" s="1034"/>
      <c r="K36" s="85"/>
      <c r="L36" s="85"/>
      <c r="M36" s="85"/>
      <c r="N36" s="85"/>
      <c r="O36" s="973"/>
      <c r="P36" s="85"/>
      <c r="Q36" s="85"/>
      <c r="R36" s="973"/>
      <c r="S36" s="85"/>
      <c r="T36" s="1240" t="s">
        <v>2017</v>
      </c>
      <c r="U36" s="1241">
        <v>14362.956399999999</v>
      </c>
      <c r="V36" s="1241">
        <v>2849.3778000000002</v>
      </c>
      <c r="W36" s="1241">
        <f>U36-V36</f>
        <v>11513.578599999999</v>
      </c>
      <c r="X36" s="810">
        <v>6391</v>
      </c>
      <c r="Y36" s="1241" t="s">
        <v>430</v>
      </c>
      <c r="Z36" s="1241" t="s">
        <v>430</v>
      </c>
      <c r="AA36" s="810" t="s">
        <v>430</v>
      </c>
      <c r="AB36" s="810" t="s">
        <v>430</v>
      </c>
    </row>
    <row r="37" spans="1:28" ht="12.75" customHeight="1">
      <c r="A37" s="705"/>
      <c r="B37" s="1064"/>
      <c r="C37" s="1064"/>
      <c r="D37" s="1064"/>
      <c r="E37" s="1064"/>
      <c r="F37" s="1034"/>
      <c r="G37" s="1034"/>
      <c r="H37" s="1034"/>
      <c r="I37" s="1034"/>
      <c r="J37" s="1034"/>
      <c r="K37" s="85"/>
      <c r="L37" s="85"/>
      <c r="M37" s="85"/>
      <c r="N37" s="85"/>
      <c r="O37" s="973"/>
      <c r="P37" s="85"/>
      <c r="Q37" s="85"/>
      <c r="R37" s="85"/>
      <c r="S37" s="85"/>
      <c r="T37" s="2235" t="s">
        <v>2113</v>
      </c>
      <c r="U37" s="2235"/>
      <c r="V37" s="2235"/>
      <c r="W37" s="2235"/>
      <c r="X37" s="2235"/>
      <c r="Y37" s="2235"/>
      <c r="Z37" s="2235"/>
      <c r="AA37" s="2235"/>
      <c r="AB37" s="2235"/>
    </row>
    <row r="38" spans="1:28" ht="12" customHeight="1">
      <c r="A38" s="152"/>
      <c r="K38" s="85"/>
      <c r="L38" s="85"/>
      <c r="M38" s="85"/>
      <c r="N38" s="85"/>
      <c r="O38" s="85"/>
      <c r="P38" s="85"/>
      <c r="Q38" s="85"/>
      <c r="R38" s="85"/>
      <c r="S38" s="85"/>
      <c r="T38" s="2234" t="s">
        <v>1856</v>
      </c>
      <c r="U38" s="2234"/>
      <c r="V38" s="2234"/>
      <c r="W38" s="2234"/>
      <c r="X38" s="2234"/>
      <c r="Y38" s="2234"/>
      <c r="Z38" s="2234"/>
      <c r="AA38" s="2234"/>
      <c r="AB38" s="2234"/>
    </row>
    <row r="39" spans="1:28" ht="12.75" customHeight="1">
      <c r="B39" s="261"/>
      <c r="C39" s="261"/>
      <c r="D39" s="6"/>
      <c r="K39" s="150"/>
      <c r="L39" s="150"/>
      <c r="M39" s="150"/>
      <c r="N39" s="150"/>
      <c r="O39" s="886"/>
      <c r="P39" s="886"/>
      <c r="Q39" s="886"/>
      <c r="R39" s="886"/>
      <c r="S39" s="150"/>
      <c r="T39" s="2234" t="s">
        <v>1738</v>
      </c>
      <c r="U39" s="2234"/>
      <c r="V39" s="2234"/>
      <c r="W39" s="2234"/>
      <c r="X39" s="2234"/>
      <c r="Y39" s="2234"/>
      <c r="Z39" s="2234"/>
      <c r="AA39" s="2234"/>
      <c r="AB39" s="2234"/>
    </row>
    <row r="40" spans="1:28" ht="12" customHeight="1">
      <c r="A40" s="154"/>
      <c r="B40" s="154"/>
      <c r="K40" s="157"/>
      <c r="L40" s="157"/>
      <c r="M40" s="157"/>
      <c r="N40" s="157"/>
      <c r="O40" s="887"/>
      <c r="P40" s="887"/>
      <c r="Q40" s="887"/>
      <c r="R40" s="887"/>
      <c r="S40" s="157"/>
      <c r="T40" s="2233" t="s">
        <v>1652</v>
      </c>
      <c r="U40" s="2233"/>
      <c r="V40" s="2233"/>
      <c r="W40" s="2233"/>
      <c r="X40" s="2233"/>
      <c r="Y40" s="2233"/>
    </row>
    <row r="41" spans="1:28" ht="11.25" customHeight="1">
      <c r="A41" s="154"/>
      <c r="B41" s="154"/>
      <c r="C41" s="154"/>
      <c r="D41" s="154"/>
      <c r="E41" s="154"/>
      <c r="F41" s="154"/>
      <c r="G41" s="154"/>
      <c r="I41" s="154"/>
      <c r="J41" s="154"/>
      <c r="K41" s="154"/>
      <c r="L41" s="154"/>
      <c r="M41" s="154"/>
      <c r="N41" s="154"/>
      <c r="O41" s="157"/>
      <c r="P41" s="157"/>
      <c r="Q41" s="157"/>
      <c r="R41" s="157"/>
      <c r="S41" s="157"/>
    </row>
    <row r="42" spans="1:28" ht="15.75">
      <c r="B42" s="154"/>
      <c r="C42" s="154"/>
      <c r="D42" s="154"/>
      <c r="E42" s="154"/>
      <c r="F42" s="154"/>
      <c r="G42" s="154"/>
      <c r="I42" s="154"/>
      <c r="J42" s="154"/>
      <c r="K42" s="154"/>
      <c r="L42" s="154"/>
      <c r="M42" s="154"/>
      <c r="N42" s="154"/>
      <c r="O42" s="889"/>
      <c r="P42" s="889"/>
      <c r="Q42" s="889"/>
      <c r="R42" s="889"/>
    </row>
    <row r="43" spans="1:28">
      <c r="I43" s="211"/>
      <c r="K43" s="85"/>
    </row>
    <row r="44" spans="1:28" ht="15">
      <c r="I44" s="211"/>
      <c r="K44" s="85"/>
      <c r="Y44" s="888"/>
      <c r="Z44" s="888"/>
      <c r="AA44" s="888"/>
      <c r="AB44" s="888"/>
    </row>
    <row r="45" spans="1:28" ht="15">
      <c r="K45" s="85"/>
      <c r="W45" s="206"/>
      <c r="Y45" s="888"/>
      <c r="Z45" s="888"/>
      <c r="AA45" s="888"/>
      <c r="AB45" s="888"/>
    </row>
    <row r="46" spans="1:28" ht="15">
      <c r="K46" s="85"/>
      <c r="Y46" s="888"/>
      <c r="Z46" s="888"/>
      <c r="AA46" s="888"/>
      <c r="AB46" s="888"/>
    </row>
    <row r="47" spans="1:28" ht="15">
      <c r="K47" s="85"/>
      <c r="Y47" s="890"/>
      <c r="Z47" s="890"/>
      <c r="AA47" s="890"/>
      <c r="AB47" s="890"/>
    </row>
    <row r="48" spans="1:28">
      <c r="K48" s="85"/>
    </row>
    <row r="49" spans="1:19">
      <c r="K49" s="85"/>
    </row>
    <row r="50" spans="1:19">
      <c r="K50" s="85"/>
    </row>
    <row r="51" spans="1:19">
      <c r="K51" s="85"/>
    </row>
    <row r="52" spans="1:19">
      <c r="K52" s="85"/>
    </row>
    <row r="53" spans="1:19">
      <c r="K53" s="85"/>
    </row>
    <row r="54" spans="1:19">
      <c r="K54" s="85"/>
    </row>
    <row r="55" spans="1:19">
      <c r="K55" s="85"/>
    </row>
    <row r="56" spans="1:19">
      <c r="K56" s="85"/>
    </row>
    <row r="57" spans="1:19">
      <c r="K57" s="85"/>
    </row>
    <row r="58" spans="1:19">
      <c r="K58" s="85"/>
    </row>
    <row r="59" spans="1:19">
      <c r="K59" s="85"/>
    </row>
    <row r="60" spans="1:19">
      <c r="K60" s="85"/>
    </row>
    <row r="61" spans="1:19" ht="11.25" customHeight="1">
      <c r="K61" s="85"/>
    </row>
    <row r="62" spans="1:19">
      <c r="K62" s="85"/>
    </row>
    <row r="63" spans="1:19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19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</sheetData>
  <mergeCells count="39">
    <mergeCell ref="T40:Y40"/>
    <mergeCell ref="H4:H6"/>
    <mergeCell ref="S4:S6"/>
    <mergeCell ref="K5:N5"/>
    <mergeCell ref="Y4:AB4"/>
    <mergeCell ref="I4:R4"/>
    <mergeCell ref="T39:AB39"/>
    <mergeCell ref="T37:AB37"/>
    <mergeCell ref="T38:AB38"/>
    <mergeCell ref="O5:R5"/>
    <mergeCell ref="B36:E36"/>
    <mergeCell ref="A2:E2"/>
    <mergeCell ref="A3:E3"/>
    <mergeCell ref="F2:G2"/>
    <mergeCell ref="I5:J5"/>
    <mergeCell ref="I2:N2"/>
    <mergeCell ref="M3:N3"/>
    <mergeCell ref="F5:G5"/>
    <mergeCell ref="R2:S2"/>
    <mergeCell ref="O2:Q2"/>
    <mergeCell ref="R3:S3"/>
    <mergeCell ref="F3:G3"/>
    <mergeCell ref="A4:A6"/>
    <mergeCell ref="B4:G4"/>
    <mergeCell ref="B5:E5"/>
    <mergeCell ref="T2:Y2"/>
    <mergeCell ref="Z2:AB2"/>
    <mergeCell ref="U5:U6"/>
    <mergeCell ref="W5:W6"/>
    <mergeCell ref="AA5:AA6"/>
    <mergeCell ref="AB5:AB6"/>
    <mergeCell ref="X5:X6"/>
    <mergeCell ref="V5:V6"/>
    <mergeCell ref="T4:T6"/>
    <mergeCell ref="U4:X4"/>
    <mergeCell ref="AA3:AB3"/>
    <mergeCell ref="Y5:Y6"/>
    <mergeCell ref="Z5:Z6"/>
    <mergeCell ref="T3:Z3"/>
  </mergeCells>
  <phoneticPr fontId="0" type="noConversion"/>
  <pageMargins left="0.62992125984252001" right="0.59055118110236204" top="0.511811023622047" bottom="0.511811023622047" header="0" footer="0.74803149606299202"/>
  <pageSetup paperSize="448" firstPageNumber="79" orientation="portrait" useFirstPageNumber="1" r:id="rId1"/>
  <headerFooter alignWithMargins="0">
    <oddFooter>&amp;C&amp;"Times New Roman,Regular"&amp;8&amp;P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J111"/>
  <sheetViews>
    <sheetView zoomScale="130" zoomScaleNormal="130" workbookViewId="0">
      <pane xSplit="1" ySplit="3" topLeftCell="B37" activePane="bottomRight" state="frozen"/>
      <selection activeCell="W54" sqref="W54"/>
      <selection pane="topRight" activeCell="W54" sqref="W54"/>
      <selection pane="bottomLeft" activeCell="W54" sqref="W54"/>
      <selection pane="bottomRight" activeCell="F39" sqref="F39"/>
    </sheetView>
  </sheetViews>
  <sheetFormatPr defaultColWidth="9.140625" defaultRowHeight="11.25"/>
  <cols>
    <col min="1" max="1" width="13.140625" style="866" customWidth="1"/>
    <col min="2" max="2" width="19.85546875" style="45" customWidth="1"/>
    <col min="3" max="3" width="20.28515625" style="45" customWidth="1"/>
    <col min="4" max="4" width="20.140625" style="45" customWidth="1"/>
    <col min="5" max="5" width="10" style="45" customWidth="1"/>
    <col min="6" max="6" width="10" style="45" bestFit="1" customWidth="1"/>
    <col min="7" max="10" width="9.140625" style="45"/>
    <col min="11" max="11" width="11.28515625" style="45" customWidth="1"/>
    <col min="12" max="12" width="8.7109375" style="45" customWidth="1"/>
    <col min="13" max="15" width="9.140625" style="45"/>
    <col min="16" max="16" width="11.85546875" style="45" customWidth="1"/>
    <col min="17" max="16384" width="9.140625" style="45"/>
  </cols>
  <sheetData>
    <row r="1" spans="1:10" s="159" customFormat="1" ht="47.25" customHeight="1">
      <c r="A1" s="2237" t="s">
        <v>1704</v>
      </c>
      <c r="B1" s="2237"/>
      <c r="C1" s="2237"/>
      <c r="D1" s="161" t="s">
        <v>543</v>
      </c>
      <c r="E1" s="160"/>
      <c r="F1" s="160"/>
      <c r="G1" s="160"/>
    </row>
    <row r="2" spans="1:10" s="162" customFormat="1" ht="12" customHeight="1">
      <c r="A2" s="2238" t="s">
        <v>663</v>
      </c>
      <c r="B2" s="2240" t="s">
        <v>62</v>
      </c>
      <c r="C2" s="2242" t="s">
        <v>63</v>
      </c>
      <c r="D2" s="2243"/>
    </row>
    <row r="3" spans="1:10" s="162" customFormat="1" ht="12.75" customHeight="1">
      <c r="A3" s="2239"/>
      <c r="B3" s="2241"/>
      <c r="C3" s="1455" t="s">
        <v>1508</v>
      </c>
      <c r="D3" s="1455" t="s">
        <v>2061</v>
      </c>
    </row>
    <row r="4" spans="1:10" ht="11.1" customHeight="1">
      <c r="A4" s="392" t="s">
        <v>83</v>
      </c>
      <c r="B4" s="396">
        <v>427180</v>
      </c>
      <c r="C4" s="370">
        <v>10987.4</v>
      </c>
      <c r="D4" s="372">
        <v>76010.833200000008</v>
      </c>
      <c r="E4" s="832"/>
      <c r="F4" s="832"/>
    </row>
    <row r="5" spans="1:10" s="270" customFormat="1" ht="11.1" customHeight="1">
      <c r="A5" s="430" t="s">
        <v>225</v>
      </c>
      <c r="B5" s="604">
        <v>439375</v>
      </c>
      <c r="C5" s="35">
        <v>11650.32</v>
      </c>
      <c r="D5" s="36">
        <v>83008.885067382464</v>
      </c>
      <c r="E5" s="834"/>
      <c r="F5" s="834"/>
    </row>
    <row r="6" spans="1:10" s="270" customFormat="1" ht="11.1" customHeight="1">
      <c r="A6" s="392" t="s">
        <v>972</v>
      </c>
      <c r="B6" s="396">
        <v>691402</v>
      </c>
      <c r="C6" s="370">
        <v>12843.429999999998</v>
      </c>
      <c r="D6" s="372">
        <v>101591.53129999999</v>
      </c>
      <c r="E6" s="834"/>
      <c r="F6" s="832"/>
    </row>
    <row r="7" spans="1:10" s="270" customFormat="1" ht="11.1" customHeight="1">
      <c r="A7" s="430" t="s">
        <v>1107</v>
      </c>
      <c r="B7" s="604">
        <v>441301</v>
      </c>
      <c r="C7" s="35">
        <v>14461.15</v>
      </c>
      <c r="D7" s="36">
        <v>115646.15801927802</v>
      </c>
      <c r="E7" s="834"/>
      <c r="F7" s="834"/>
    </row>
    <row r="8" spans="1:10" s="270" customFormat="1" ht="11.1" customHeight="1">
      <c r="A8" s="392" t="s">
        <v>1347</v>
      </c>
      <c r="B8" s="373">
        <v>408870</v>
      </c>
      <c r="C8" s="372">
        <v>14228.3</v>
      </c>
      <c r="D8" s="372">
        <v>110582.38341698999</v>
      </c>
      <c r="E8" s="834"/>
      <c r="F8" s="832"/>
    </row>
    <row r="9" spans="1:10" s="270" customFormat="1" ht="11.1" customHeight="1">
      <c r="A9" s="430" t="s">
        <v>1406</v>
      </c>
      <c r="B9" s="963">
        <v>461829</v>
      </c>
      <c r="C9" s="963">
        <v>15316.91</v>
      </c>
      <c r="D9" s="964">
        <v>118982.31547276099</v>
      </c>
      <c r="E9" s="834"/>
      <c r="F9" s="834"/>
    </row>
    <row r="10" spans="1:10" s="270" customFormat="1" ht="11.1" customHeight="1">
      <c r="A10" s="736" t="s">
        <v>1560</v>
      </c>
      <c r="B10" s="737">
        <v>684537</v>
      </c>
      <c r="C10" s="1045">
        <v>14931.18</v>
      </c>
      <c r="D10" s="1045">
        <v>116856.72088078099</v>
      </c>
      <c r="E10" s="834"/>
      <c r="F10" s="832"/>
    </row>
    <row r="11" spans="1:10" s="270" customFormat="1" ht="11.1" customHeight="1">
      <c r="A11" s="669" t="s">
        <v>1608</v>
      </c>
      <c r="B11" s="1319">
        <v>905326</v>
      </c>
      <c r="C11" s="1320">
        <v>12769.45</v>
      </c>
      <c r="D11" s="1320">
        <v>101098.96241416999</v>
      </c>
      <c r="E11" s="834"/>
      <c r="F11" s="834"/>
    </row>
    <row r="12" spans="1:10" s="270" customFormat="1" ht="11.1" customHeight="1">
      <c r="A12" s="806" t="s">
        <v>1756</v>
      </c>
      <c r="B12" s="819">
        <v>880037</v>
      </c>
      <c r="C12" s="820">
        <v>14981.689999999999</v>
      </c>
      <c r="D12" s="820">
        <v>123156.004940445</v>
      </c>
      <c r="E12" s="834"/>
      <c r="F12" s="834"/>
    </row>
    <row r="13" spans="1:10" s="270" customFormat="1" ht="11.1" customHeight="1">
      <c r="A13" s="707" t="s">
        <v>1904</v>
      </c>
      <c r="B13" s="797">
        <f>SUM(B14:B25)</f>
        <v>692978</v>
      </c>
      <c r="C13" s="798">
        <f>SUM(C14:C25)</f>
        <v>16419.63</v>
      </c>
      <c r="D13" s="798">
        <f>SUM(D14:D25)</f>
        <v>138006.57168470003</v>
      </c>
      <c r="E13" s="834"/>
      <c r="F13" s="834"/>
    </row>
    <row r="14" spans="1:10" s="270" customFormat="1" ht="11.1" customHeight="1">
      <c r="A14" s="736" t="s">
        <v>742</v>
      </c>
      <c r="B14" s="812">
        <v>58627</v>
      </c>
      <c r="C14" s="738">
        <v>1318.18</v>
      </c>
      <c r="D14" s="367">
        <v>11039.3884096</v>
      </c>
      <c r="E14" s="834"/>
      <c r="F14" s="834"/>
      <c r="J14" s="834"/>
    </row>
    <row r="15" spans="1:10" s="270" customFormat="1" ht="11.1" customHeight="1">
      <c r="A15" s="669" t="s">
        <v>743</v>
      </c>
      <c r="B15" s="817">
        <v>49727</v>
      </c>
      <c r="C15" s="735">
        <v>1411.05</v>
      </c>
      <c r="D15" s="325">
        <v>11817.543750000001</v>
      </c>
      <c r="E15" s="834"/>
      <c r="F15" s="834"/>
    </row>
    <row r="16" spans="1:10" ht="11.1" customHeight="1">
      <c r="A16" s="736" t="s">
        <v>737</v>
      </c>
      <c r="B16" s="858">
        <v>55037</v>
      </c>
      <c r="C16" s="738">
        <v>1139.6600000000001</v>
      </c>
      <c r="D16" s="367">
        <v>9544.6525000000001</v>
      </c>
      <c r="E16" s="270"/>
      <c r="F16" s="270"/>
    </row>
    <row r="17" spans="1:10" ht="11.1" customHeight="1">
      <c r="A17" s="669" t="s">
        <v>744</v>
      </c>
      <c r="B17" s="1010">
        <v>59192</v>
      </c>
      <c r="C17" s="735">
        <v>1239.1099999999999</v>
      </c>
      <c r="D17" s="325">
        <v>10385.811113699998</v>
      </c>
      <c r="E17" s="270"/>
      <c r="F17" s="270"/>
    </row>
    <row r="18" spans="1:10" ht="11.1" customHeight="1">
      <c r="A18" s="736" t="s">
        <v>745</v>
      </c>
      <c r="B18" s="858">
        <v>70377</v>
      </c>
      <c r="C18" s="738">
        <v>1180.44</v>
      </c>
      <c r="D18" s="367">
        <v>9900.7634340000041</v>
      </c>
      <c r="E18" s="270"/>
      <c r="F18" s="270"/>
    </row>
    <row r="19" spans="1:10" ht="11.1" customHeight="1">
      <c r="A19" s="669" t="s">
        <v>738</v>
      </c>
      <c r="B19" s="1010">
        <v>49219</v>
      </c>
      <c r="C19" s="735">
        <v>1206.9100000000001</v>
      </c>
      <c r="D19" s="325">
        <v>10125.974900000001</v>
      </c>
      <c r="E19" s="270"/>
      <c r="F19" s="270"/>
    </row>
    <row r="20" spans="1:10" ht="11.1" customHeight="1">
      <c r="A20" s="736" t="s">
        <v>746</v>
      </c>
      <c r="B20" s="858">
        <v>62236</v>
      </c>
      <c r="C20" s="738">
        <v>1597.21</v>
      </c>
      <c r="D20" s="367">
        <v>13407.252265700001</v>
      </c>
      <c r="E20" s="270"/>
      <c r="F20" s="270"/>
    </row>
    <row r="21" spans="1:10" ht="11.1" customHeight="1">
      <c r="A21" s="669" t="s">
        <v>747</v>
      </c>
      <c r="B21" s="1010">
        <v>53617</v>
      </c>
      <c r="C21" s="735">
        <v>1317.73</v>
      </c>
      <c r="D21" s="325">
        <v>11074.4269341</v>
      </c>
      <c r="E21" s="270"/>
      <c r="F21" s="270"/>
    </row>
    <row r="22" spans="1:10" ht="11.1" customHeight="1">
      <c r="A22" s="736" t="s">
        <v>739</v>
      </c>
      <c r="B22" s="858">
        <v>58458</v>
      </c>
      <c r="C22" s="738">
        <v>1458.6800000000003</v>
      </c>
      <c r="D22" s="367">
        <v>12283.267130800003</v>
      </c>
      <c r="E22" s="270"/>
      <c r="F22" s="270"/>
      <c r="H22" s="270"/>
      <c r="I22" s="270"/>
      <c r="J22" s="270"/>
    </row>
    <row r="23" spans="1:10" s="270" customFormat="1" ht="11.1" customHeight="1">
      <c r="A23" s="669" t="s">
        <v>748</v>
      </c>
      <c r="B23" s="1010">
        <v>64259</v>
      </c>
      <c r="C23" s="735">
        <v>1434.3000000000006</v>
      </c>
      <c r="D23" s="325">
        <v>12095.59533</v>
      </c>
    </row>
    <row r="24" spans="1:10" s="270" customFormat="1" ht="11.1" customHeight="1">
      <c r="A24" s="736" t="s">
        <v>749</v>
      </c>
      <c r="B24" s="858">
        <v>63848</v>
      </c>
      <c r="C24" s="738">
        <v>1748.16</v>
      </c>
      <c r="D24" s="367">
        <v>14770.605916799999</v>
      </c>
    </row>
    <row r="25" spans="1:10" s="270" customFormat="1" ht="11.1" customHeight="1">
      <c r="A25" s="669" t="s">
        <v>740</v>
      </c>
      <c r="B25" s="1010">
        <v>48381</v>
      </c>
      <c r="C25" s="735">
        <v>1368.1999999999998</v>
      </c>
      <c r="D25" s="325">
        <v>11561.289999999999</v>
      </c>
    </row>
    <row r="26" spans="1:10" s="270" customFormat="1" ht="11.1" customHeight="1">
      <c r="A26" s="806" t="s">
        <v>2017</v>
      </c>
      <c r="B26" s="819">
        <f>SUM(B27:B38)</f>
        <v>530578</v>
      </c>
      <c r="C26" s="820">
        <f>SUM(C27:C38)</f>
        <v>18205.010000000002</v>
      </c>
      <c r="D26" s="820">
        <f>SUM(D27:D38)</f>
        <v>154353.0611469</v>
      </c>
    </row>
    <row r="27" spans="1:10" s="270" customFormat="1" ht="11.1" customHeight="1">
      <c r="A27" s="696" t="s">
        <v>742</v>
      </c>
      <c r="B27" s="1010">
        <v>55307</v>
      </c>
      <c r="C27" s="735">
        <v>1597.6899999999998</v>
      </c>
      <c r="D27" s="325">
        <v>13500.416592399997</v>
      </c>
      <c r="E27" s="1066"/>
      <c r="F27" s="1067"/>
      <c r="G27" s="1066"/>
    </row>
    <row r="28" spans="1:10" s="270" customFormat="1" ht="11.1" customHeight="1">
      <c r="A28" s="699" t="s">
        <v>743</v>
      </c>
      <c r="B28" s="858">
        <v>35825</v>
      </c>
      <c r="C28" s="738">
        <v>1444.75</v>
      </c>
      <c r="D28" s="738">
        <v>12208.137500000004</v>
      </c>
      <c r="E28" s="780"/>
      <c r="G28" s="834"/>
      <c r="H28" s="834"/>
    </row>
    <row r="29" spans="1:10" s="270" customFormat="1" ht="11.1" customHeight="1">
      <c r="A29" s="696" t="s">
        <v>737</v>
      </c>
      <c r="B29" s="1010">
        <v>56742</v>
      </c>
      <c r="C29" s="735">
        <v>1476.91</v>
      </c>
      <c r="D29" s="735">
        <v>12479.889500000003</v>
      </c>
      <c r="E29" s="1027"/>
      <c r="F29" s="834"/>
      <c r="G29" s="834"/>
      <c r="H29" s="834"/>
    </row>
    <row r="30" spans="1:10" s="270" customFormat="1" ht="11.1" customHeight="1">
      <c r="A30" s="699" t="s">
        <v>744</v>
      </c>
      <c r="B30" s="858">
        <v>78186</v>
      </c>
      <c r="C30" s="738">
        <v>1641.67</v>
      </c>
      <c r="D30" s="738">
        <v>13900.052723400002</v>
      </c>
      <c r="E30" s="1027"/>
      <c r="F30" s="834"/>
      <c r="G30" s="834"/>
      <c r="H30" s="834"/>
    </row>
    <row r="31" spans="1:10" s="270" customFormat="1" ht="11.1" customHeight="1">
      <c r="A31" s="696" t="s">
        <v>745</v>
      </c>
      <c r="B31" s="1010">
        <v>62339</v>
      </c>
      <c r="C31" s="735">
        <v>1555.23</v>
      </c>
      <c r="D31" s="735">
        <v>13185.395463000004</v>
      </c>
      <c r="E31" s="1027"/>
      <c r="F31" s="834"/>
      <c r="G31" s="834"/>
      <c r="H31" s="834"/>
    </row>
    <row r="32" spans="1:10" s="270" customFormat="1" ht="11.1" customHeight="1">
      <c r="A32" s="699" t="s">
        <v>738</v>
      </c>
      <c r="B32" s="858">
        <v>60961</v>
      </c>
      <c r="C32" s="738">
        <v>1691.68</v>
      </c>
      <c r="D32" s="738">
        <v>14362.0925312</v>
      </c>
      <c r="E32" s="1027"/>
      <c r="F32" s="834"/>
      <c r="G32" s="834"/>
      <c r="H32" s="834"/>
    </row>
    <row r="33" spans="1:8" s="270" customFormat="1" ht="11.1" customHeight="1">
      <c r="A33" s="696" t="s">
        <v>746</v>
      </c>
      <c r="B33" s="1010">
        <v>69988</v>
      </c>
      <c r="C33" s="735">
        <v>1638.43</v>
      </c>
      <c r="D33" s="735">
        <v>13910.270700000001</v>
      </c>
      <c r="E33" s="1027"/>
      <c r="F33" s="834"/>
      <c r="G33" s="834"/>
      <c r="H33" s="834"/>
    </row>
    <row r="34" spans="1:8" s="270" customFormat="1" ht="11.1" customHeight="1">
      <c r="A34" s="699" t="s">
        <v>747</v>
      </c>
      <c r="B34" s="858">
        <v>59139</v>
      </c>
      <c r="C34" s="738">
        <v>1452.2</v>
      </c>
      <c r="D34" s="738">
        <v>12336.322824000001</v>
      </c>
      <c r="E34" s="1027"/>
      <c r="F34" s="834"/>
      <c r="G34" s="834"/>
      <c r="H34" s="834"/>
    </row>
    <row r="35" spans="1:8" s="270" customFormat="1" ht="11.1" customHeight="1">
      <c r="A35" s="696" t="s">
        <v>739</v>
      </c>
      <c r="B35" s="1010">
        <v>52091</v>
      </c>
      <c r="C35" s="735">
        <v>1276.26</v>
      </c>
      <c r="D35" s="735">
        <v>10841.8287</v>
      </c>
      <c r="E35" s="1027"/>
      <c r="F35" s="834"/>
      <c r="G35" s="834"/>
      <c r="H35" s="834"/>
    </row>
    <row r="36" spans="1:8" s="270" customFormat="1" ht="11.1" customHeight="1">
      <c r="A36" s="699" t="s">
        <v>748</v>
      </c>
      <c r="B36" s="858">
        <v>0</v>
      </c>
      <c r="C36" s="738">
        <v>1092.96</v>
      </c>
      <c r="D36" s="738">
        <v>9284.6952000000001</v>
      </c>
      <c r="E36" s="1027"/>
      <c r="F36" s="834"/>
      <c r="G36" s="834"/>
      <c r="H36" s="834"/>
    </row>
    <row r="37" spans="1:8" s="270" customFormat="1" ht="11.1" customHeight="1">
      <c r="A37" s="696" t="s">
        <v>749</v>
      </c>
      <c r="B37" s="1010">
        <v>0</v>
      </c>
      <c r="C37" s="735">
        <v>1504.6</v>
      </c>
      <c r="D37" s="735">
        <v>12781.576999999999</v>
      </c>
      <c r="E37" s="1027"/>
      <c r="F37" s="834"/>
      <c r="G37" s="834"/>
      <c r="H37" s="834"/>
    </row>
    <row r="38" spans="1:8" s="270" customFormat="1" ht="11.1" customHeight="1">
      <c r="A38" s="699" t="s">
        <v>740</v>
      </c>
      <c r="B38" s="858">
        <v>0</v>
      </c>
      <c r="C38" s="738">
        <v>1832.63</v>
      </c>
      <c r="D38" s="738">
        <v>15562.382412899999</v>
      </c>
      <c r="E38" s="1027"/>
      <c r="F38" s="834"/>
      <c r="G38" s="834"/>
      <c r="H38" s="834"/>
    </row>
    <row r="39" spans="1:8" s="270" customFormat="1" ht="11.1" customHeight="1">
      <c r="A39" s="707" t="s">
        <v>2114</v>
      </c>
      <c r="B39" s="797">
        <f>SUM(B40:B51)</f>
        <v>279810</v>
      </c>
      <c r="C39" s="427">
        <f>SUM(C40:C51)</f>
        <v>24777.71</v>
      </c>
      <c r="D39" s="427">
        <f>SUM(D40:D51)</f>
        <v>210130.60146709997</v>
      </c>
      <c r="E39" s="1027"/>
      <c r="F39" s="834"/>
      <c r="G39" s="834"/>
      <c r="H39" s="834"/>
    </row>
    <row r="40" spans="1:8" s="270" customFormat="1" ht="11.1" customHeight="1">
      <c r="A40" s="699" t="s">
        <v>742</v>
      </c>
      <c r="B40" s="858">
        <v>16</v>
      </c>
      <c r="C40" s="738">
        <v>2598.21</v>
      </c>
      <c r="D40" s="738">
        <v>22035.938651999997</v>
      </c>
      <c r="E40" s="1027"/>
      <c r="F40" s="834"/>
      <c r="G40" s="834"/>
      <c r="H40" s="834"/>
    </row>
    <row r="41" spans="1:8" s="270" customFormat="1" ht="11.1" customHeight="1">
      <c r="A41" s="696" t="s">
        <v>743</v>
      </c>
      <c r="B41" s="1010">
        <v>64</v>
      </c>
      <c r="C41" s="735">
        <v>1963.94</v>
      </c>
      <c r="D41" s="735">
        <v>16661.870566000001</v>
      </c>
      <c r="E41" s="1027"/>
      <c r="F41" s="834"/>
      <c r="G41" s="834"/>
      <c r="H41" s="834"/>
    </row>
    <row r="42" spans="1:8" s="270" customFormat="1" ht="11.1" customHeight="1">
      <c r="A42" s="699" t="s">
        <v>737</v>
      </c>
      <c r="B42" s="858">
        <v>195</v>
      </c>
      <c r="C42" s="738">
        <v>2151.0500000000002</v>
      </c>
      <c r="D42" s="738">
        <v>18241.441762500002</v>
      </c>
      <c r="E42" s="1027"/>
      <c r="F42" s="834"/>
      <c r="G42" s="834"/>
      <c r="H42" s="834"/>
    </row>
    <row r="43" spans="1:8" s="270" customFormat="1" ht="11.1" customHeight="1">
      <c r="A43" s="696" t="s">
        <v>744</v>
      </c>
      <c r="B43" s="1010">
        <v>1208</v>
      </c>
      <c r="C43" s="735">
        <v>2102.16</v>
      </c>
      <c r="D43" s="735">
        <v>17826.8002968</v>
      </c>
      <c r="E43" s="1027"/>
      <c r="F43" s="834"/>
      <c r="G43" s="834"/>
      <c r="H43" s="834"/>
    </row>
    <row r="44" spans="1:8" s="270" customFormat="1" ht="11.1" customHeight="1">
      <c r="A44" s="699" t="s">
        <v>745</v>
      </c>
      <c r="B44" s="858">
        <v>6570</v>
      </c>
      <c r="C44" s="738">
        <v>2078.7399999999998</v>
      </c>
      <c r="D44" s="738">
        <v>17627.819137000002</v>
      </c>
      <c r="E44" s="1027"/>
      <c r="F44" s="834"/>
      <c r="G44" s="834"/>
      <c r="H44" s="834"/>
    </row>
    <row r="45" spans="1:8" s="270" customFormat="1" ht="11.1" customHeight="1">
      <c r="A45" s="696" t="s">
        <v>738</v>
      </c>
      <c r="B45" s="1010">
        <v>28398</v>
      </c>
      <c r="C45" s="735">
        <v>2050.65</v>
      </c>
      <c r="D45" s="735">
        <v>17389.573519500002</v>
      </c>
      <c r="E45" s="1027"/>
      <c r="F45" s="834"/>
      <c r="G45" s="834"/>
      <c r="H45" s="834"/>
    </row>
    <row r="46" spans="1:8" s="270" customFormat="1" ht="11.1" customHeight="1">
      <c r="A46" s="699" t="s">
        <v>746</v>
      </c>
      <c r="B46" s="858">
        <v>35732</v>
      </c>
      <c r="C46" s="738">
        <v>1961.91</v>
      </c>
      <c r="D46" s="738">
        <v>16637.212610100003</v>
      </c>
      <c r="E46" s="1027"/>
      <c r="F46" s="834"/>
      <c r="G46" s="834"/>
      <c r="H46" s="834"/>
    </row>
    <row r="47" spans="1:8" s="270" customFormat="1" ht="11.1" customHeight="1">
      <c r="A47" s="696" t="s">
        <v>747</v>
      </c>
      <c r="B47" s="1010">
        <v>49510</v>
      </c>
      <c r="C47" s="735">
        <v>1780.59</v>
      </c>
      <c r="D47" s="735">
        <v>15099.5278413</v>
      </c>
      <c r="E47" s="1027"/>
      <c r="F47" s="834"/>
      <c r="G47" s="834"/>
      <c r="H47" s="834"/>
    </row>
    <row r="48" spans="1:8" s="270" customFormat="1" ht="11.1" customHeight="1">
      <c r="A48" s="699" t="s">
        <v>739</v>
      </c>
      <c r="B48" s="858">
        <v>61653</v>
      </c>
      <c r="C48" s="738">
        <v>1910.98</v>
      </c>
      <c r="D48" s="738">
        <v>16205.282388200001</v>
      </c>
      <c r="E48" s="1027"/>
      <c r="F48" s="834"/>
      <c r="G48" s="834"/>
      <c r="H48" s="834"/>
    </row>
    <row r="49" spans="1:8" s="270" customFormat="1" ht="11.1" customHeight="1">
      <c r="A49" s="696" t="s">
        <v>748</v>
      </c>
      <c r="B49" s="1010">
        <v>34145</v>
      </c>
      <c r="C49" s="735">
        <v>2067.64</v>
      </c>
      <c r="D49" s="735">
        <v>17533.793963999997</v>
      </c>
      <c r="E49" s="1027"/>
      <c r="F49" s="834"/>
      <c r="G49" s="834"/>
      <c r="H49" s="834"/>
    </row>
    <row r="50" spans="1:8" s="270" customFormat="1" ht="12.75" customHeight="1">
      <c r="A50" s="699" t="s">
        <v>2695</v>
      </c>
      <c r="B50" s="858">
        <v>14200</v>
      </c>
      <c r="C50" s="738">
        <v>2171.0300000000002</v>
      </c>
      <c r="D50" s="738">
        <v>18410.399530899998</v>
      </c>
      <c r="E50" s="1027"/>
      <c r="F50" s="834"/>
      <c r="G50" s="834"/>
      <c r="H50" s="834"/>
    </row>
    <row r="51" spans="1:8" s="270" customFormat="1" ht="11.1" customHeight="1" thickBot="1">
      <c r="A51" s="1486" t="s">
        <v>740</v>
      </c>
      <c r="B51" s="1594">
        <v>48119</v>
      </c>
      <c r="C51" s="1570">
        <v>1940.81</v>
      </c>
      <c r="D51" s="1570">
        <v>16460.941198800003</v>
      </c>
      <c r="E51" s="1027"/>
      <c r="F51" s="834"/>
      <c r="G51" s="834"/>
      <c r="H51" s="834"/>
    </row>
    <row r="52" spans="1:8" ht="11.25" customHeight="1">
      <c r="A52" s="252" t="s">
        <v>1319</v>
      </c>
      <c r="B52" s="2033" t="s">
        <v>1739</v>
      </c>
      <c r="C52" s="2033"/>
      <c r="D52" s="256"/>
      <c r="F52" s="834"/>
      <c r="G52" s="834"/>
      <c r="H52" s="834"/>
    </row>
    <row r="53" spans="1:8">
      <c r="A53" s="252" t="s">
        <v>422</v>
      </c>
      <c r="B53" s="2033" t="s">
        <v>1697</v>
      </c>
      <c r="C53" s="2033"/>
      <c r="D53" s="315" t="s">
        <v>2633</v>
      </c>
      <c r="G53" s="834"/>
    </row>
    <row r="54" spans="1:8">
      <c r="A54" s="843"/>
      <c r="B54" s="927" t="s">
        <v>1714</v>
      </c>
      <c r="C54" s="927"/>
      <c r="D54" s="927"/>
      <c r="G54" s="834"/>
    </row>
    <row r="55" spans="1:8">
      <c r="A55" s="77"/>
      <c r="B55" s="1445"/>
      <c r="G55" s="834"/>
    </row>
    <row r="56" spans="1:8">
      <c r="A56" s="77"/>
      <c r="B56" s="1258"/>
    </row>
    <row r="57" spans="1:8">
      <c r="A57" s="77"/>
      <c r="B57" s="87"/>
      <c r="F57" s="832"/>
      <c r="G57" s="832"/>
      <c r="H57" s="832"/>
    </row>
    <row r="58" spans="1:8">
      <c r="A58" s="77"/>
      <c r="B58" s="826"/>
      <c r="F58" s="832"/>
      <c r="G58" s="832"/>
      <c r="H58" s="832"/>
    </row>
    <row r="59" spans="1:8">
      <c r="A59" s="77"/>
      <c r="B59" s="826"/>
      <c r="F59" s="832"/>
      <c r="G59" s="832"/>
      <c r="H59" s="832"/>
    </row>
    <row r="60" spans="1:8">
      <c r="A60" s="77"/>
      <c r="B60" s="826"/>
      <c r="F60" s="832"/>
      <c r="G60" s="832"/>
      <c r="H60" s="832"/>
    </row>
    <row r="61" spans="1:8">
      <c r="A61" s="77"/>
      <c r="B61" s="87"/>
    </row>
    <row r="62" spans="1:8">
      <c r="A62" s="77"/>
      <c r="B62" s="87"/>
    </row>
    <row r="63" spans="1:8">
      <c r="A63" s="77"/>
      <c r="B63" s="87"/>
    </row>
    <row r="64" spans="1:8">
      <c r="A64" s="77"/>
      <c r="B64" s="87"/>
    </row>
    <row r="65" spans="1:2">
      <c r="A65" s="77"/>
      <c r="B65" s="87"/>
    </row>
    <row r="66" spans="1:2">
      <c r="A66" s="77"/>
      <c r="B66" s="87"/>
    </row>
    <row r="67" spans="1:2">
      <c r="A67" s="77"/>
      <c r="B67" s="87"/>
    </row>
    <row r="68" spans="1:2">
      <c r="A68" s="77"/>
      <c r="B68" s="87"/>
    </row>
    <row r="69" spans="1:2">
      <c r="A69" s="77"/>
      <c r="B69" s="87"/>
    </row>
    <row r="70" spans="1:2">
      <c r="A70" s="77"/>
      <c r="B70" s="87"/>
    </row>
    <row r="71" spans="1:2">
      <c r="A71" s="77"/>
      <c r="B71" s="87"/>
    </row>
    <row r="72" spans="1:2">
      <c r="A72" s="77"/>
      <c r="B72" s="87"/>
    </row>
    <row r="73" spans="1:2">
      <c r="A73" s="77"/>
      <c r="B73" s="87"/>
    </row>
    <row r="74" spans="1:2">
      <c r="A74" s="77"/>
      <c r="B74" s="87"/>
    </row>
    <row r="75" spans="1:2">
      <c r="A75" s="77"/>
      <c r="B75" s="87"/>
    </row>
    <row r="76" spans="1:2">
      <c r="A76" s="77"/>
      <c r="B76" s="87"/>
    </row>
    <row r="77" spans="1:2">
      <c r="A77" s="77"/>
      <c r="B77" s="87"/>
    </row>
    <row r="78" spans="1:2">
      <c r="A78" s="77"/>
      <c r="B78" s="87"/>
    </row>
    <row r="79" spans="1:2">
      <c r="A79" s="77"/>
      <c r="B79" s="87"/>
    </row>
    <row r="80" spans="1:2">
      <c r="A80" s="77"/>
      <c r="B80" s="87"/>
    </row>
    <row r="81" spans="1:2">
      <c r="A81" s="77"/>
      <c r="B81" s="87"/>
    </row>
    <row r="82" spans="1:2">
      <c r="A82" s="77"/>
      <c r="B82" s="87"/>
    </row>
    <row r="83" spans="1:2">
      <c r="A83" s="77"/>
      <c r="B83" s="87"/>
    </row>
    <row r="84" spans="1:2">
      <c r="A84" s="77"/>
      <c r="B84" s="87"/>
    </row>
    <row r="85" spans="1:2">
      <c r="A85" s="77"/>
      <c r="B85" s="87"/>
    </row>
    <row r="86" spans="1:2">
      <c r="A86" s="77"/>
      <c r="B86" s="87"/>
    </row>
    <row r="87" spans="1:2">
      <c r="A87" s="77"/>
      <c r="B87" s="87"/>
    </row>
    <row r="88" spans="1:2">
      <c r="A88" s="77"/>
      <c r="B88" s="87"/>
    </row>
    <row r="89" spans="1:2">
      <c r="A89" s="77"/>
      <c r="B89" s="87"/>
    </row>
    <row r="90" spans="1:2">
      <c r="A90" s="77"/>
      <c r="B90" s="87"/>
    </row>
    <row r="91" spans="1:2">
      <c r="A91" s="77"/>
      <c r="B91" s="87"/>
    </row>
    <row r="92" spans="1:2">
      <c r="A92" s="77"/>
      <c r="B92" s="87"/>
    </row>
    <row r="93" spans="1:2">
      <c r="A93" s="77"/>
      <c r="B93" s="87"/>
    </row>
    <row r="94" spans="1:2">
      <c r="A94" s="77"/>
      <c r="B94" s="87"/>
    </row>
    <row r="95" spans="1:2">
      <c r="A95" s="77"/>
      <c r="B95" s="87"/>
    </row>
    <row r="96" spans="1:2">
      <c r="A96" s="77"/>
      <c r="B96" s="87"/>
    </row>
    <row r="97" spans="1:2">
      <c r="A97" s="77"/>
      <c r="B97" s="87"/>
    </row>
    <row r="98" spans="1:2">
      <c r="A98" s="77"/>
      <c r="B98" s="87"/>
    </row>
    <row r="99" spans="1:2">
      <c r="A99" s="77"/>
      <c r="B99" s="87"/>
    </row>
    <row r="100" spans="1:2">
      <c r="A100" s="77"/>
      <c r="B100" s="87"/>
    </row>
    <row r="101" spans="1:2">
      <c r="A101" s="77"/>
      <c r="B101" s="87"/>
    </row>
    <row r="102" spans="1:2">
      <c r="A102" s="77"/>
      <c r="B102" s="87"/>
    </row>
    <row r="103" spans="1:2">
      <c r="A103" s="77"/>
      <c r="B103" s="87"/>
    </row>
    <row r="104" spans="1:2">
      <c r="A104" s="77"/>
      <c r="B104" s="87"/>
    </row>
    <row r="105" spans="1:2">
      <c r="A105" s="77"/>
      <c r="B105" s="87"/>
    </row>
    <row r="106" spans="1:2">
      <c r="A106" s="77"/>
      <c r="B106" s="87"/>
    </row>
    <row r="107" spans="1:2">
      <c r="A107" s="77"/>
      <c r="B107" s="87"/>
    </row>
    <row r="108" spans="1:2">
      <c r="A108" s="77"/>
      <c r="B108" s="87"/>
    </row>
    <row r="109" spans="1:2">
      <c r="A109" s="77"/>
      <c r="B109" s="87"/>
    </row>
    <row r="110" spans="1:2">
      <c r="A110" s="77"/>
      <c r="B110" s="87"/>
    </row>
    <row r="111" spans="1:2">
      <c r="A111" s="77"/>
      <c r="B111" s="87"/>
    </row>
  </sheetData>
  <mergeCells count="6">
    <mergeCell ref="B53:C53"/>
    <mergeCell ref="A1:C1"/>
    <mergeCell ref="A2:A3"/>
    <mergeCell ref="B2:B3"/>
    <mergeCell ref="B52:C52"/>
    <mergeCell ref="C2:D2"/>
  </mergeCells>
  <phoneticPr fontId="0" type="noConversion"/>
  <printOptions horizontalCentered="1"/>
  <pageMargins left="0.51" right="0.52900000000000003" top="0.511811023622047" bottom="0.511811023622047" header="0" footer="0.35433070866141703"/>
  <pageSetup paperSize="448" firstPageNumber="83" orientation="portrait" useFirstPageNumber="1" r:id="rId1"/>
  <headerFooter alignWithMargins="0">
    <oddFooter>&amp;C&amp;"Times New Roman,Regular"&amp;8&amp;P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Y364"/>
  <sheetViews>
    <sheetView zoomScale="130" zoomScaleNormal="130" workbookViewId="0">
      <pane xSplit="1" ySplit="3" topLeftCell="B39" activePane="bottomRight" state="frozen"/>
      <selection activeCell="W54" sqref="W54"/>
      <selection pane="topRight" activeCell="W54" sqref="W54"/>
      <selection pane="bottomLeft" activeCell="W54" sqref="W54"/>
      <selection pane="bottomRight" activeCell="V50" sqref="V50"/>
    </sheetView>
  </sheetViews>
  <sheetFormatPr defaultColWidth="9.140625" defaultRowHeight="11.25"/>
  <cols>
    <col min="1" max="1" width="8.5703125" style="8" customWidth="1"/>
    <col min="2" max="11" width="7.5703125" style="8" customWidth="1"/>
    <col min="12" max="12" width="6.85546875" style="8" customWidth="1"/>
    <col min="13" max="13" width="6" style="8" customWidth="1"/>
    <col min="14" max="14" width="6.7109375" style="8" customWidth="1"/>
    <col min="15" max="16" width="7.5703125" style="8" customWidth="1"/>
    <col min="17" max="17" width="7.140625" style="8" customWidth="1"/>
    <col min="18" max="18" width="7.5703125" style="8" customWidth="1"/>
    <col min="19" max="19" width="6.85546875" style="8" customWidth="1"/>
    <col min="20" max="20" width="7.5703125" style="8" customWidth="1"/>
    <col min="21" max="21" width="7.85546875" style="8" customWidth="1"/>
    <col min="22" max="22" width="10.85546875" style="8" bestFit="1" customWidth="1"/>
    <col min="23" max="23" width="9.28515625" style="8" bestFit="1" customWidth="1"/>
    <col min="24" max="24" width="10" style="8" bestFit="1" customWidth="1"/>
    <col min="25" max="16384" width="9.140625" style="8"/>
  </cols>
  <sheetData>
    <row r="1" spans="1:25" s="28" customFormat="1" ht="14.25" customHeight="1">
      <c r="A1" s="2040" t="s">
        <v>546</v>
      </c>
      <c r="B1" s="2040"/>
      <c r="C1" s="2040"/>
      <c r="D1" s="2040"/>
      <c r="E1" s="2040"/>
      <c r="F1" s="2040"/>
      <c r="G1" s="2040"/>
      <c r="H1" s="2040"/>
      <c r="I1" s="2040"/>
      <c r="J1" s="2040"/>
      <c r="K1" s="248" t="s">
        <v>480</v>
      </c>
      <c r="L1" s="73"/>
      <c r="M1" s="73"/>
      <c r="N1" s="73"/>
      <c r="O1" s="64"/>
      <c r="P1" s="64"/>
      <c r="Q1" s="64"/>
      <c r="R1" s="64"/>
      <c r="S1" s="64"/>
      <c r="T1" s="2040" t="s">
        <v>1457</v>
      </c>
      <c r="U1" s="2040"/>
    </row>
    <row r="2" spans="1:25" s="49" customFormat="1" ht="12" customHeight="1">
      <c r="B2" s="1415"/>
      <c r="C2" s="1415"/>
      <c r="D2" s="1415"/>
      <c r="E2" s="1415"/>
      <c r="H2" s="1415"/>
      <c r="I2" s="1415"/>
      <c r="J2" s="1415"/>
      <c r="K2" s="1415"/>
      <c r="L2" s="1415"/>
      <c r="M2" s="1415"/>
      <c r="N2" s="1415"/>
      <c r="O2" s="1415"/>
      <c r="P2" s="1415"/>
      <c r="Q2" s="1415"/>
      <c r="R2" s="1415"/>
      <c r="S2" s="1415"/>
      <c r="T2" s="2244" t="s">
        <v>25</v>
      </c>
      <c r="U2" s="2244"/>
    </row>
    <row r="3" spans="1:25" s="227" customFormat="1" ht="50.25" customHeight="1">
      <c r="A3" s="1460" t="s">
        <v>663</v>
      </c>
      <c r="B3" s="1458" t="s">
        <v>64</v>
      </c>
      <c r="C3" s="1458" t="s">
        <v>1777</v>
      </c>
      <c r="D3" s="1458" t="s">
        <v>1778</v>
      </c>
      <c r="E3" s="1458" t="s">
        <v>65</v>
      </c>
      <c r="F3" s="1458" t="s">
        <v>1779</v>
      </c>
      <c r="G3" s="1458" t="s">
        <v>66</v>
      </c>
      <c r="H3" s="1458" t="s">
        <v>67</v>
      </c>
      <c r="I3" s="1458" t="s">
        <v>68</v>
      </c>
      <c r="J3" s="1458" t="s">
        <v>69</v>
      </c>
      <c r="K3" s="1458" t="s">
        <v>70</v>
      </c>
      <c r="L3" s="1458" t="s">
        <v>71</v>
      </c>
      <c r="M3" s="1458" t="s">
        <v>72</v>
      </c>
      <c r="N3" s="1458" t="s">
        <v>73</v>
      </c>
      <c r="O3" s="1458" t="s">
        <v>696</v>
      </c>
      <c r="P3" s="1452" t="s">
        <v>718</v>
      </c>
      <c r="Q3" s="1452" t="s">
        <v>968</v>
      </c>
      <c r="R3" s="1452" t="s">
        <v>973</v>
      </c>
      <c r="S3" s="1452" t="s">
        <v>2000</v>
      </c>
      <c r="T3" s="1458" t="s">
        <v>74</v>
      </c>
      <c r="U3" s="1458" t="s">
        <v>659</v>
      </c>
    </row>
    <row r="4" spans="1:25" s="9" customFormat="1" ht="11.25" customHeight="1">
      <c r="A4" s="698" t="s">
        <v>83</v>
      </c>
      <c r="B4" s="666">
        <v>23709.401759999997</v>
      </c>
      <c r="C4" s="666">
        <v>13077.514040000002</v>
      </c>
      <c r="D4" s="666">
        <v>5723.8957499999997</v>
      </c>
      <c r="E4" s="666">
        <v>7050.7496800000008</v>
      </c>
      <c r="F4" s="666">
        <v>10044.25626</v>
      </c>
      <c r="G4" s="666">
        <v>10.44585</v>
      </c>
      <c r="H4" s="666">
        <v>2496.5547799999999</v>
      </c>
      <c r="I4" s="666">
        <v>2414.7833399999995</v>
      </c>
      <c r="J4" s="666">
        <v>1338.3879299999999</v>
      </c>
      <c r="K4" s="666">
        <v>114.11791000000001</v>
      </c>
      <c r="L4" s="666">
        <v>1177.0468499999997</v>
      </c>
      <c r="M4" s="666">
        <v>31.072650000000003</v>
      </c>
      <c r="N4" s="666">
        <v>101.95625</v>
      </c>
      <c r="O4" s="666">
        <v>4061.917840000001</v>
      </c>
      <c r="P4" s="666">
        <v>58.456209999999999</v>
      </c>
      <c r="Q4" s="666">
        <v>1259.92806</v>
      </c>
      <c r="R4" s="666">
        <v>143.63157000000001</v>
      </c>
      <c r="S4" s="666">
        <v>57.544499999999999</v>
      </c>
      <c r="T4" s="666">
        <v>3139.1719699999944</v>
      </c>
      <c r="U4" s="666">
        <f t="shared" ref="U4:U7" si="0">SUM(B4:T4)</f>
        <v>76010.833200000008</v>
      </c>
      <c r="V4" s="105"/>
      <c r="W4" s="105"/>
      <c r="X4" s="105"/>
      <c r="Y4" s="206"/>
    </row>
    <row r="5" spans="1:25" s="211" customFormat="1" ht="11.25" customHeight="1">
      <c r="A5" s="745" t="s">
        <v>225</v>
      </c>
      <c r="B5" s="665">
        <v>23447.611522103758</v>
      </c>
      <c r="C5" s="665">
        <v>14274.536554243999</v>
      </c>
      <c r="D5" s="665">
        <v>6329.345799345223</v>
      </c>
      <c r="E5" s="665">
        <v>7668.545797496</v>
      </c>
      <c r="F5" s="665">
        <v>13162.814794050668</v>
      </c>
      <c r="G5" s="665">
        <v>42.006690047596507</v>
      </c>
      <c r="H5" s="665">
        <v>2273.663133048</v>
      </c>
      <c r="I5" s="665">
        <v>2378.4981804742797</v>
      </c>
      <c r="J5" s="665">
        <v>1443.4474231873241</v>
      </c>
      <c r="K5" s="665">
        <v>184.06482744244911</v>
      </c>
      <c r="L5" s="665">
        <v>1326.4480618323998</v>
      </c>
      <c r="M5" s="665">
        <v>16.463787679999999</v>
      </c>
      <c r="N5" s="665">
        <v>108.62308996920061</v>
      </c>
      <c r="O5" s="665">
        <v>5011.1663160175985</v>
      </c>
      <c r="P5" s="665">
        <v>93.970096692639999</v>
      </c>
      <c r="Q5" s="665">
        <v>1538.1769608763173</v>
      </c>
      <c r="R5" s="665">
        <v>170.3696918419937</v>
      </c>
      <c r="S5" s="665">
        <v>79.384371033026895</v>
      </c>
      <c r="T5" s="665">
        <v>3459.7479699999994</v>
      </c>
      <c r="U5" s="857">
        <f t="shared" si="0"/>
        <v>83008.885067382464</v>
      </c>
      <c r="V5" s="599"/>
      <c r="W5" s="599"/>
      <c r="X5" s="599"/>
    </row>
    <row r="6" spans="1:25" s="9" customFormat="1" ht="11.25" customHeight="1">
      <c r="A6" s="698" t="s">
        <v>972</v>
      </c>
      <c r="B6" s="666">
        <v>29163.283242118639</v>
      </c>
      <c r="C6" s="666">
        <v>19038.108899337632</v>
      </c>
      <c r="D6" s="666">
        <v>7809.7835324582902</v>
      </c>
      <c r="E6" s="666">
        <v>9385.6420626336549</v>
      </c>
      <c r="F6" s="666">
        <v>11828.910059940725</v>
      </c>
      <c r="G6" s="666">
        <v>102.87052779546001</v>
      </c>
      <c r="H6" s="666">
        <v>2651.53684450951</v>
      </c>
      <c r="I6" s="666">
        <v>3174.0609841537071</v>
      </c>
      <c r="J6" s="666">
        <v>2481.4516458887801</v>
      </c>
      <c r="K6" s="666">
        <v>275.82418570616346</v>
      </c>
      <c r="L6" s="666">
        <v>2371.4713983471402</v>
      </c>
      <c r="M6" s="666">
        <v>8.9624438679999994</v>
      </c>
      <c r="N6" s="666">
        <v>173.68251222769157</v>
      </c>
      <c r="O6" s="666">
        <v>6712.3823075712635</v>
      </c>
      <c r="P6" s="666">
        <v>422.0270226909729</v>
      </c>
      <c r="Q6" s="666">
        <v>1914.8794293305637</v>
      </c>
      <c r="R6" s="666">
        <v>239.72250396515088</v>
      </c>
      <c r="S6" s="666">
        <v>178.82062360774498</v>
      </c>
      <c r="T6" s="666">
        <v>3658.1110738488965</v>
      </c>
      <c r="U6" s="666">
        <f t="shared" si="0"/>
        <v>101591.53129999999</v>
      </c>
      <c r="V6" s="105"/>
      <c r="W6" s="105"/>
      <c r="X6" s="105"/>
      <c r="Y6" s="206"/>
    </row>
    <row r="7" spans="1:25" s="211" customFormat="1" ht="11.25" customHeight="1">
      <c r="A7" s="745" t="s">
        <v>1107</v>
      </c>
      <c r="B7" s="665">
        <v>30645.329417797999</v>
      </c>
      <c r="C7" s="665">
        <v>22629.954310562003</v>
      </c>
      <c r="D7" s="665">
        <v>7944.261095199</v>
      </c>
      <c r="E7" s="665">
        <v>9487.7621551789998</v>
      </c>
      <c r="F7" s="665">
        <v>14854.690027008</v>
      </c>
      <c r="G7" s="665">
        <v>459.92579137900003</v>
      </c>
      <c r="H7" s="665">
        <v>2297.8989676470005</v>
      </c>
      <c r="I7" s="665">
        <v>4875.3607362970006</v>
      </c>
      <c r="J7" s="665">
        <v>3983.3948069319999</v>
      </c>
      <c r="K7" s="665">
        <v>206.712431503</v>
      </c>
      <c r="L7" s="665">
        <v>2890.2409015500002</v>
      </c>
      <c r="M7" s="665">
        <v>21.251621922999998</v>
      </c>
      <c r="N7" s="665">
        <v>169.73017864899998</v>
      </c>
      <c r="O7" s="665">
        <v>7967.163443454001</v>
      </c>
      <c r="P7" s="665">
        <v>488.01441817900002</v>
      </c>
      <c r="Q7" s="665">
        <v>1866.267097298</v>
      </c>
      <c r="R7" s="665">
        <v>494.83839057</v>
      </c>
      <c r="S7" s="665">
        <v>156.27197931100002</v>
      </c>
      <c r="T7" s="665">
        <v>4207.0907388400001</v>
      </c>
      <c r="U7" s="857">
        <f t="shared" si="0"/>
        <v>115646.158509278</v>
      </c>
      <c r="V7" s="599"/>
      <c r="W7" s="599"/>
      <c r="X7" s="599"/>
    </row>
    <row r="8" spans="1:25" s="35" customFormat="1" ht="11.25" customHeight="1">
      <c r="A8" s="699" t="s">
        <v>1347</v>
      </c>
      <c r="B8" s="666">
        <v>24240.140711880998</v>
      </c>
      <c r="C8" s="666">
        <v>20866.964531202</v>
      </c>
      <c r="D8" s="666">
        <v>7004.6693670379991</v>
      </c>
      <c r="E8" s="666">
        <v>8602.8400845840006</v>
      </c>
      <c r="F8" s="666">
        <v>18056.862406150001</v>
      </c>
      <c r="G8" s="666">
        <v>559.41628836799998</v>
      </c>
      <c r="H8" s="666">
        <v>2001.5196785359999</v>
      </c>
      <c r="I8" s="666">
        <v>5448.4327879120001</v>
      </c>
      <c r="J8" s="666">
        <v>3335.1378381119998</v>
      </c>
      <c r="K8" s="666">
        <v>209.31088224700002</v>
      </c>
      <c r="L8" s="666">
        <v>3570.1673695179998</v>
      </c>
      <c r="M8" s="666">
        <v>3.0288693630000005</v>
      </c>
      <c r="N8" s="666">
        <v>132.67317405499998</v>
      </c>
      <c r="O8" s="666">
        <v>8274.3293595220002</v>
      </c>
      <c r="P8" s="666">
        <v>422.62113959999994</v>
      </c>
      <c r="Q8" s="666">
        <v>2095.1929835080005</v>
      </c>
      <c r="R8" s="666">
        <v>455.27028396500003</v>
      </c>
      <c r="S8" s="666">
        <v>137.56719587499998</v>
      </c>
      <c r="T8" s="666">
        <v>5166.238465553999</v>
      </c>
      <c r="U8" s="666">
        <v>110582.38341698998</v>
      </c>
      <c r="V8" s="599"/>
      <c r="W8" s="105"/>
      <c r="X8" s="105"/>
    </row>
    <row r="9" spans="1:25" s="35" customFormat="1" ht="11.25" customHeight="1">
      <c r="A9" s="696" t="s">
        <v>1406</v>
      </c>
      <c r="B9" s="665">
        <v>25987.258654580997</v>
      </c>
      <c r="C9" s="665">
        <v>21934.982243472998</v>
      </c>
      <c r="D9" s="665">
        <v>6309.8007089949997</v>
      </c>
      <c r="E9" s="665">
        <v>8371.9666337629988</v>
      </c>
      <c r="F9" s="665">
        <v>18489.105624444001</v>
      </c>
      <c r="G9" s="665">
        <v>355.14259886400004</v>
      </c>
      <c r="H9" s="665">
        <v>2409.4986989259996</v>
      </c>
      <c r="I9" s="665">
        <v>7109.6637192180006</v>
      </c>
      <c r="J9" s="665">
        <v>3444.4421886290006</v>
      </c>
      <c r="K9" s="665">
        <v>164.36111672899997</v>
      </c>
      <c r="L9" s="665">
        <v>4306.5368910809993</v>
      </c>
      <c r="M9" s="665">
        <v>1.0878520650000001</v>
      </c>
      <c r="N9" s="665">
        <v>126.68805762700001</v>
      </c>
      <c r="O9" s="665">
        <v>10732.610499937999</v>
      </c>
      <c r="P9" s="665">
        <v>480.40710343800004</v>
      </c>
      <c r="Q9" s="665">
        <v>2020.3891492669998</v>
      </c>
      <c r="R9" s="665">
        <v>469.14853845199997</v>
      </c>
      <c r="S9" s="665">
        <v>152.87326095199998</v>
      </c>
      <c r="T9" s="665">
        <v>6116.3519323189985</v>
      </c>
      <c r="U9" s="665">
        <v>118982.31547276098</v>
      </c>
      <c r="V9" s="599"/>
      <c r="W9" s="599"/>
      <c r="X9" s="599"/>
    </row>
    <row r="10" spans="1:25" s="35" customFormat="1" ht="11.25" customHeight="1">
      <c r="A10" s="699" t="s">
        <v>1560</v>
      </c>
      <c r="B10" s="666">
        <v>23165.843384732998</v>
      </c>
      <c r="C10" s="666">
        <v>21248.75908046</v>
      </c>
      <c r="D10" s="666">
        <v>6747.2028958150004</v>
      </c>
      <c r="E10" s="666">
        <v>8122.9117313530023</v>
      </c>
      <c r="F10" s="666">
        <v>18889.249921554001</v>
      </c>
      <c r="G10" s="666">
        <v>95.893180836999989</v>
      </c>
      <c r="H10" s="666">
        <v>3379.2433817339997</v>
      </c>
      <c r="I10" s="666">
        <v>7132.6719513709986</v>
      </c>
      <c r="J10" s="666">
        <v>3046.1566874470004</v>
      </c>
      <c r="K10" s="666">
        <v>204.66359045500002</v>
      </c>
      <c r="L10" s="666">
        <v>3806.9407668829999</v>
      </c>
      <c r="M10" s="666">
        <v>1.4088847410000001</v>
      </c>
      <c r="N10" s="666">
        <v>178.34404229900002</v>
      </c>
      <c r="O10" s="666">
        <v>10364.006886042</v>
      </c>
      <c r="P10" s="666">
        <v>540.57418486999995</v>
      </c>
      <c r="Q10" s="666">
        <v>2736.7067065770002</v>
      </c>
      <c r="R10" s="666">
        <v>506.556349066</v>
      </c>
      <c r="S10" s="666">
        <v>211.20321155199997</v>
      </c>
      <c r="T10" s="666">
        <v>6478.3840429919992</v>
      </c>
      <c r="U10" s="666">
        <v>116856.72088078098</v>
      </c>
      <c r="V10" s="105"/>
      <c r="W10" s="105"/>
      <c r="X10" s="105"/>
    </row>
    <row r="11" spans="1:25" s="35" customFormat="1" ht="11.25" customHeight="1">
      <c r="A11" s="696" t="s">
        <v>1596</v>
      </c>
      <c r="B11" s="665">
        <v>17943.426236539002</v>
      </c>
      <c r="C11" s="665">
        <v>16573.528397069</v>
      </c>
      <c r="D11" s="665">
        <v>6405.7376632189998</v>
      </c>
      <c r="E11" s="665">
        <v>8180.2432115789998</v>
      </c>
      <c r="F11" s="665">
        <v>13373.095621944</v>
      </c>
      <c r="G11" s="665">
        <v>17.628407153000001</v>
      </c>
      <c r="H11" s="665">
        <v>4562.3081073049998</v>
      </c>
      <c r="I11" s="665">
        <v>7107.4456062180016</v>
      </c>
      <c r="J11" s="665">
        <v>2380.5595638059999</v>
      </c>
      <c r="K11" s="665">
        <v>251.78556692700002</v>
      </c>
      <c r="L11" s="665">
        <v>3465.3919270970009</v>
      </c>
      <c r="M11" s="665">
        <v>0.15725730799999998</v>
      </c>
      <c r="N11" s="665">
        <v>181.68376342400001</v>
      </c>
      <c r="O11" s="665">
        <v>8729.7625331060008</v>
      </c>
      <c r="P11" s="665">
        <v>411.69327297199999</v>
      </c>
      <c r="Q11" s="665">
        <v>4047.0763187749994</v>
      </c>
      <c r="R11" s="665">
        <v>638.67820879400006</v>
      </c>
      <c r="S11" s="665">
        <v>150.208864742</v>
      </c>
      <c r="T11" s="665">
        <v>6678.5518861929977</v>
      </c>
      <c r="U11" s="665">
        <v>101098.96241417</v>
      </c>
      <c r="V11" s="599"/>
      <c r="W11" s="599"/>
      <c r="X11" s="599"/>
    </row>
    <row r="12" spans="1:25" s="35" customFormat="1" ht="11.25" customHeight="1">
      <c r="A12" s="700" t="s">
        <v>1756</v>
      </c>
      <c r="B12" s="685">
        <v>21303.057974675001</v>
      </c>
      <c r="C12" s="685">
        <v>19981.775415710003</v>
      </c>
      <c r="D12" s="685">
        <v>9090.1559443150018</v>
      </c>
      <c r="E12" s="685">
        <v>9868.4859093200012</v>
      </c>
      <c r="F12" s="685">
        <v>16410.639824310001</v>
      </c>
      <c r="G12" s="685">
        <v>19.443675874999997</v>
      </c>
      <c r="H12" s="685">
        <v>6950.4103529849999</v>
      </c>
      <c r="I12" s="685">
        <v>7874.3254532150004</v>
      </c>
      <c r="J12" s="685">
        <v>2715.2346651450002</v>
      </c>
      <c r="K12" s="685">
        <v>330.55203132999998</v>
      </c>
      <c r="L12" s="685">
        <v>4451.4895316450002</v>
      </c>
      <c r="M12" s="685">
        <v>0.3327156</v>
      </c>
      <c r="N12" s="685">
        <v>258.69044694500002</v>
      </c>
      <c r="O12" s="685">
        <v>9103.3843674349991</v>
      </c>
      <c r="P12" s="685">
        <v>464.68689706499993</v>
      </c>
      <c r="Q12" s="685">
        <v>5434.0171208399997</v>
      </c>
      <c r="R12" s="685">
        <v>791.06830617999992</v>
      </c>
      <c r="S12" s="685">
        <v>174.71432794999998</v>
      </c>
      <c r="T12" s="685">
        <v>7933.5399799049983</v>
      </c>
      <c r="U12" s="685">
        <v>123156.00494044498</v>
      </c>
      <c r="V12" s="599"/>
      <c r="W12" s="599"/>
      <c r="X12" s="599"/>
    </row>
    <row r="13" spans="1:25" s="35" customFormat="1" ht="11.25" customHeight="1">
      <c r="A13" s="701" t="s">
        <v>1904</v>
      </c>
      <c r="B13" s="697">
        <f t="shared" ref="B13:T13" si="1">SUM(B14:B25)</f>
        <v>26143.3635736</v>
      </c>
      <c r="C13" s="697">
        <f t="shared" si="1"/>
        <v>21351.112195200003</v>
      </c>
      <c r="D13" s="697">
        <f t="shared" si="1"/>
        <v>9882.1187704000004</v>
      </c>
      <c r="E13" s="697">
        <f t="shared" si="1"/>
        <v>12301.017555900002</v>
      </c>
      <c r="F13" s="697">
        <f t="shared" si="1"/>
        <v>15488.6576974</v>
      </c>
      <c r="G13" s="697">
        <f t="shared" si="1"/>
        <v>65.783767699999999</v>
      </c>
      <c r="H13" s="697">
        <f t="shared" si="1"/>
        <v>8605.6801902999996</v>
      </c>
      <c r="I13" s="697">
        <f t="shared" si="1"/>
        <v>8960.9986872000009</v>
      </c>
      <c r="J13" s="697">
        <f t="shared" si="1"/>
        <v>3096.0592743000002</v>
      </c>
      <c r="K13" s="697">
        <f t="shared" si="1"/>
        <v>509.60950109999999</v>
      </c>
      <c r="L13" s="697">
        <f t="shared" si="1"/>
        <v>3950.0114481000001</v>
      </c>
      <c r="M13" s="697">
        <f t="shared" si="1"/>
        <v>0</v>
      </c>
      <c r="N13" s="697">
        <f t="shared" si="1"/>
        <v>416.43734380000012</v>
      </c>
      <c r="O13" s="697">
        <f t="shared" si="1"/>
        <v>10065.4388858</v>
      </c>
      <c r="P13" s="697">
        <f t="shared" si="1"/>
        <v>480.4309207</v>
      </c>
      <c r="Q13" s="697">
        <f t="shared" si="1"/>
        <v>6368.1924249999993</v>
      </c>
      <c r="R13" s="697">
        <f t="shared" si="1"/>
        <v>945.79052019999995</v>
      </c>
      <c r="S13" s="697">
        <f t="shared" si="1"/>
        <v>168.7680048</v>
      </c>
      <c r="T13" s="697">
        <f t="shared" si="1"/>
        <v>9207.1009232000051</v>
      </c>
      <c r="U13" s="697">
        <f>SUM(B13:T13)</f>
        <v>138006.57168470003</v>
      </c>
      <c r="V13" s="599"/>
      <c r="W13" s="599"/>
      <c r="X13" s="599"/>
    </row>
    <row r="14" spans="1:25" s="35" customFormat="1" ht="11.25" customHeight="1">
      <c r="A14" s="699" t="s">
        <v>742</v>
      </c>
      <c r="B14" s="779">
        <v>2033.6332576000004</v>
      </c>
      <c r="C14" s="779">
        <v>1940.0038880000004</v>
      </c>
      <c r="D14" s="779">
        <v>651.80445759999998</v>
      </c>
      <c r="E14" s="779">
        <v>898.27246720000005</v>
      </c>
      <c r="F14" s="779">
        <v>1316.5897312000002</v>
      </c>
      <c r="G14" s="779">
        <v>37.1000096</v>
      </c>
      <c r="H14" s="779">
        <v>732.11802240000009</v>
      </c>
      <c r="I14" s="779">
        <v>638.2374112</v>
      </c>
      <c r="J14" s="779">
        <v>249.81789760000001</v>
      </c>
      <c r="K14" s="779">
        <v>29.730256000000004</v>
      </c>
      <c r="L14" s="779">
        <v>376.10867519999999</v>
      </c>
      <c r="M14" s="779">
        <v>0</v>
      </c>
      <c r="N14" s="779">
        <v>22.360502400000001</v>
      </c>
      <c r="O14" s="779">
        <v>783.53880320000007</v>
      </c>
      <c r="P14" s="779">
        <v>35.927548800000004</v>
      </c>
      <c r="Q14" s="779">
        <v>501.56198080000001</v>
      </c>
      <c r="R14" s="779">
        <v>61.97292800000001</v>
      </c>
      <c r="S14" s="779">
        <v>14.7395072</v>
      </c>
      <c r="T14" s="779">
        <v>715.87106560000007</v>
      </c>
      <c r="U14" s="779">
        <f t="shared" ref="U14:U51" si="2">SUM(B14:T14)</f>
        <v>11039.3884096</v>
      </c>
      <c r="V14" s="599"/>
      <c r="W14" s="599"/>
      <c r="X14" s="599"/>
    </row>
    <row r="15" spans="1:25" s="35" customFormat="1" ht="11.25" customHeight="1">
      <c r="A15" s="696" t="s">
        <v>743</v>
      </c>
      <c r="B15" s="780">
        <v>2250.44625</v>
      </c>
      <c r="C15" s="780">
        <v>1780.3575000000001</v>
      </c>
      <c r="D15" s="780">
        <v>814.55250000000001</v>
      </c>
      <c r="E15" s="780">
        <v>950.7299999999999</v>
      </c>
      <c r="F15" s="780">
        <v>1376.4312500000001</v>
      </c>
      <c r="G15" s="780">
        <v>1.92625</v>
      </c>
      <c r="H15" s="780">
        <v>726.61500000000001</v>
      </c>
      <c r="I15" s="780">
        <v>936.57625000000007</v>
      </c>
      <c r="J15" s="780">
        <v>261.80250000000001</v>
      </c>
      <c r="K15" s="780">
        <v>34.17</v>
      </c>
      <c r="L15" s="780">
        <v>375.45124999999996</v>
      </c>
      <c r="M15" s="780">
        <v>0</v>
      </c>
      <c r="N15" s="780">
        <v>26.967500000000001</v>
      </c>
      <c r="O15" s="780">
        <v>927.86625000000004</v>
      </c>
      <c r="P15" s="780">
        <v>44.303750000000001</v>
      </c>
      <c r="Q15" s="780">
        <v>515.39750000000004</v>
      </c>
      <c r="R15" s="780">
        <v>61.388750000000002</v>
      </c>
      <c r="S15" s="780">
        <v>15.242500000000001</v>
      </c>
      <c r="T15" s="780">
        <v>717.3187499999998</v>
      </c>
      <c r="U15" s="780">
        <f t="shared" si="2"/>
        <v>11817.543750000001</v>
      </c>
      <c r="V15" s="599"/>
      <c r="W15" s="599"/>
      <c r="X15" s="599"/>
    </row>
    <row r="16" spans="1:25" s="175" customFormat="1" ht="11.25" customHeight="1">
      <c r="A16" s="699" t="s">
        <v>737</v>
      </c>
      <c r="B16" s="779">
        <v>1802.97</v>
      </c>
      <c r="C16" s="779">
        <v>1362.5287499999999</v>
      </c>
      <c r="D16" s="779">
        <v>668.57624999999996</v>
      </c>
      <c r="E16" s="779">
        <v>806.93124999999986</v>
      </c>
      <c r="F16" s="779">
        <v>1044.865</v>
      </c>
      <c r="G16" s="779">
        <v>1.2562500000000001</v>
      </c>
      <c r="H16" s="779">
        <v>646.63374999999996</v>
      </c>
      <c r="I16" s="779">
        <v>615.05999999999995</v>
      </c>
      <c r="J16" s="779">
        <v>235.33750000000001</v>
      </c>
      <c r="K16" s="779">
        <v>28.72625</v>
      </c>
      <c r="L16" s="779">
        <v>278.13375000000002</v>
      </c>
      <c r="M16" s="779">
        <v>0</v>
      </c>
      <c r="N16" s="779">
        <v>22.026249999999997</v>
      </c>
      <c r="O16" s="779">
        <v>750.48374999999999</v>
      </c>
      <c r="P16" s="779">
        <v>27.05125</v>
      </c>
      <c r="Q16" s="779">
        <v>564.3075</v>
      </c>
      <c r="R16" s="779">
        <v>63.482500000000002</v>
      </c>
      <c r="S16" s="779">
        <v>12.981249999999999</v>
      </c>
      <c r="T16" s="779">
        <v>613.30125000000066</v>
      </c>
      <c r="U16" s="779">
        <f t="shared" si="2"/>
        <v>9544.6525000000001</v>
      </c>
      <c r="V16" s="17"/>
      <c r="W16" s="17"/>
      <c r="X16" s="17"/>
    </row>
    <row r="17" spans="1:24" s="175" customFormat="1" ht="11.25" customHeight="1">
      <c r="A17" s="696" t="s">
        <v>744</v>
      </c>
      <c r="B17" s="780">
        <v>2046.8876306999998</v>
      </c>
      <c r="C17" s="780">
        <v>1622.1045951000001</v>
      </c>
      <c r="D17" s="780">
        <v>692.32594199999994</v>
      </c>
      <c r="E17" s="780">
        <v>869.17917899999998</v>
      </c>
      <c r="F17" s="780">
        <v>1176.6188345999999</v>
      </c>
      <c r="G17" s="780">
        <v>2.5145010000000001</v>
      </c>
      <c r="H17" s="780">
        <v>676.14931890000003</v>
      </c>
      <c r="I17" s="780">
        <v>634.07333549999998</v>
      </c>
      <c r="J17" s="780">
        <v>212.39151779999997</v>
      </c>
      <c r="K17" s="780">
        <v>45.093384599999993</v>
      </c>
      <c r="L17" s="780">
        <v>296.3758512</v>
      </c>
      <c r="M17" s="780">
        <v>0</v>
      </c>
      <c r="N17" s="780">
        <v>23.887759500000001</v>
      </c>
      <c r="O17" s="780">
        <v>780.3334769999999</v>
      </c>
      <c r="P17" s="780">
        <v>30.928362299999996</v>
      </c>
      <c r="Q17" s="780">
        <v>524.94399210000006</v>
      </c>
      <c r="R17" s="780">
        <v>63.030158399999991</v>
      </c>
      <c r="S17" s="780">
        <v>13.5783054</v>
      </c>
      <c r="T17" s="780">
        <v>675.3949685999994</v>
      </c>
      <c r="U17" s="780">
        <f t="shared" si="2"/>
        <v>10385.811113699998</v>
      </c>
      <c r="V17" s="17"/>
      <c r="W17" s="17"/>
      <c r="X17" s="17"/>
    </row>
    <row r="18" spans="1:24" s="175" customFormat="1" ht="11.25" customHeight="1">
      <c r="A18" s="699" t="s">
        <v>745</v>
      </c>
      <c r="B18" s="779">
        <v>1852.5139945000003</v>
      </c>
      <c r="C18" s="779">
        <v>1540.0852070000001</v>
      </c>
      <c r="D18" s="779">
        <v>687.00783850000005</v>
      </c>
      <c r="E18" s="779">
        <v>909.52423400000009</v>
      </c>
      <c r="F18" s="779">
        <v>1061.1675220000002</v>
      </c>
      <c r="G18" s="779">
        <v>2.2645845000000007</v>
      </c>
      <c r="H18" s="779">
        <v>625.02532200000007</v>
      </c>
      <c r="I18" s="779">
        <v>613.53465250000011</v>
      </c>
      <c r="J18" s="779">
        <v>216.39363000000003</v>
      </c>
      <c r="K18" s="779">
        <v>32.9622855</v>
      </c>
      <c r="L18" s="779">
        <v>284.91827950000004</v>
      </c>
      <c r="M18" s="779">
        <v>0</v>
      </c>
      <c r="N18" s="779">
        <v>29.523472000000005</v>
      </c>
      <c r="O18" s="779">
        <v>742.61596900000018</v>
      </c>
      <c r="P18" s="779">
        <v>37.575328000000006</v>
      </c>
      <c r="Q18" s="779">
        <v>506.84756050000004</v>
      </c>
      <c r="R18" s="779">
        <v>69.447258000000005</v>
      </c>
      <c r="S18" s="779">
        <v>11.406796000000002</v>
      </c>
      <c r="T18" s="779">
        <v>677.94950050000182</v>
      </c>
      <c r="U18" s="779">
        <f>SUM(B18:T18)</f>
        <v>9900.7634340000041</v>
      </c>
      <c r="V18" s="17"/>
      <c r="W18" s="17"/>
      <c r="X18" s="17"/>
    </row>
    <row r="19" spans="1:24" s="175" customFormat="1" ht="11.25" customHeight="1">
      <c r="A19" s="1028" t="s">
        <v>738</v>
      </c>
      <c r="B19" s="780">
        <v>1940.4392</v>
      </c>
      <c r="C19" s="780">
        <v>1402.0529000000001</v>
      </c>
      <c r="D19" s="780">
        <v>704.34050000000002</v>
      </c>
      <c r="E19" s="780">
        <v>881.70510000000013</v>
      </c>
      <c r="F19" s="780">
        <v>1276.3706999999999</v>
      </c>
      <c r="G19" s="780">
        <v>2.0975000000000001</v>
      </c>
      <c r="H19" s="780">
        <v>622.11850000000015</v>
      </c>
      <c r="I19" s="780">
        <v>595.27050000000008</v>
      </c>
      <c r="J19" s="780">
        <v>208.07200000000003</v>
      </c>
      <c r="K19" s="780">
        <v>39.2652</v>
      </c>
      <c r="L19" s="780">
        <v>360.85390000000001</v>
      </c>
      <c r="M19" s="780">
        <v>0</v>
      </c>
      <c r="N19" s="780">
        <v>33.727799999999995</v>
      </c>
      <c r="O19" s="780">
        <v>742.01160000000004</v>
      </c>
      <c r="P19" s="780">
        <v>35.657500000000006</v>
      </c>
      <c r="Q19" s="780">
        <v>522.19360000000006</v>
      </c>
      <c r="R19" s="780">
        <v>78.782100000000014</v>
      </c>
      <c r="S19" s="780">
        <v>12.417200000000001</v>
      </c>
      <c r="T19" s="780">
        <v>668.59910000000002</v>
      </c>
      <c r="U19" s="780">
        <f t="shared" si="2"/>
        <v>10125.974900000001</v>
      </c>
      <c r="V19" s="17"/>
      <c r="W19" s="17"/>
      <c r="X19" s="17"/>
    </row>
    <row r="20" spans="1:24" s="175" customFormat="1" ht="11.25" customHeight="1">
      <c r="A20" s="699" t="s">
        <v>746</v>
      </c>
      <c r="B20" s="779">
        <v>2479.7217597000003</v>
      </c>
      <c r="C20" s="779">
        <v>2130.4403460000003</v>
      </c>
      <c r="D20" s="779">
        <v>1030.9719593999998</v>
      </c>
      <c r="E20" s="779">
        <v>1249.6400879</v>
      </c>
      <c r="F20" s="779">
        <v>1518.6732363999997</v>
      </c>
      <c r="G20" s="779">
        <v>3.4416096999999994</v>
      </c>
      <c r="H20" s="779">
        <v>808.0228042</v>
      </c>
      <c r="I20" s="779">
        <v>754.80376639999997</v>
      </c>
      <c r="J20" s="779">
        <v>300.9309945</v>
      </c>
      <c r="K20" s="779">
        <v>54.058454800000007</v>
      </c>
      <c r="L20" s="779">
        <v>356.75222500000001</v>
      </c>
      <c r="M20" s="779">
        <v>0</v>
      </c>
      <c r="N20" s="779">
        <v>37.773764999999997</v>
      </c>
      <c r="O20" s="779">
        <v>899.85502400000007</v>
      </c>
      <c r="P20" s="779">
        <v>43.313917199999999</v>
      </c>
      <c r="Q20" s="779">
        <v>693.10661689999984</v>
      </c>
      <c r="R20" s="779">
        <v>99.386972799999995</v>
      </c>
      <c r="S20" s="779">
        <v>13.262788599999999</v>
      </c>
      <c r="T20" s="779">
        <v>933.09593720000066</v>
      </c>
      <c r="U20" s="779">
        <f t="shared" si="2"/>
        <v>13407.252265700001</v>
      </c>
      <c r="V20" s="17"/>
      <c r="W20" s="17"/>
      <c r="X20" s="17"/>
    </row>
    <row r="21" spans="1:24" s="1037" customFormat="1" ht="11.25" customHeight="1">
      <c r="A21" s="696" t="s">
        <v>747</v>
      </c>
      <c r="B21" s="780">
        <v>2005.234962</v>
      </c>
      <c r="C21" s="780">
        <v>1905.9817143</v>
      </c>
      <c r="D21" s="780">
        <v>965.47104960000001</v>
      </c>
      <c r="E21" s="780">
        <v>1005.9791490000001</v>
      </c>
      <c r="F21" s="780">
        <v>1080.6081786000002</v>
      </c>
      <c r="G21" s="780">
        <v>2.3531676000000004</v>
      </c>
      <c r="H21" s="780">
        <v>592.83015180000007</v>
      </c>
      <c r="I21" s="780">
        <v>744.18925349999995</v>
      </c>
      <c r="J21" s="780">
        <v>232.71146730000004</v>
      </c>
      <c r="K21" s="780">
        <v>47.819727300000004</v>
      </c>
      <c r="L21" s="780">
        <v>274.90040070000003</v>
      </c>
      <c r="M21" s="780">
        <v>0</v>
      </c>
      <c r="N21" s="780">
        <v>84.545950200000021</v>
      </c>
      <c r="O21" s="780">
        <v>811.59069690000001</v>
      </c>
      <c r="P21" s="780">
        <v>38.0708901</v>
      </c>
      <c r="Q21" s="780">
        <v>452.64859620000004</v>
      </c>
      <c r="R21" s="780">
        <v>94.042662300000003</v>
      </c>
      <c r="S21" s="780">
        <v>9.6647955000000003</v>
      </c>
      <c r="T21" s="780">
        <v>725.78412120000064</v>
      </c>
      <c r="U21" s="780">
        <f t="shared" si="2"/>
        <v>11074.426934100004</v>
      </c>
      <c r="V21" s="36"/>
      <c r="W21" s="36"/>
      <c r="X21" s="36"/>
    </row>
    <row r="22" spans="1:24" s="1037" customFormat="1" ht="11.25" customHeight="1">
      <c r="A22" s="699" t="s">
        <v>739</v>
      </c>
      <c r="B22" s="779">
        <v>2389.4048375000002</v>
      </c>
      <c r="C22" s="779">
        <v>1969.0380023000002</v>
      </c>
      <c r="D22" s="779">
        <v>905.74232360000008</v>
      </c>
      <c r="E22" s="779">
        <v>1127.3780428</v>
      </c>
      <c r="F22" s="779">
        <v>1331.3300610000001</v>
      </c>
      <c r="G22" s="779">
        <v>2.9472835000000002</v>
      </c>
      <c r="H22" s="779">
        <v>731.43155660000002</v>
      </c>
      <c r="I22" s="779">
        <v>828.18666350000001</v>
      </c>
      <c r="J22" s="779">
        <v>266.35022029999999</v>
      </c>
      <c r="K22" s="779">
        <v>51.703773400000003</v>
      </c>
      <c r="L22" s="779">
        <v>322.68543920000002</v>
      </c>
      <c r="M22" s="779">
        <v>0</v>
      </c>
      <c r="N22" s="779">
        <v>30.4833322</v>
      </c>
      <c r="O22" s="779">
        <v>853.36488540000005</v>
      </c>
      <c r="P22" s="779">
        <v>43.872420099999999</v>
      </c>
      <c r="Q22" s="779">
        <v>501.03819499999997</v>
      </c>
      <c r="R22" s="779">
        <v>83.787059499999998</v>
      </c>
      <c r="S22" s="779">
        <v>18.357365800000004</v>
      </c>
      <c r="T22" s="779">
        <v>826.16566910000051</v>
      </c>
      <c r="U22" s="779">
        <f t="shared" si="2"/>
        <v>12283.267130800004</v>
      </c>
      <c r="V22" s="36"/>
      <c r="W22" s="36"/>
      <c r="X22" s="36"/>
    </row>
    <row r="23" spans="1:24" s="1037" customFormat="1" ht="11.25" customHeight="1">
      <c r="A23" s="696" t="s">
        <v>748</v>
      </c>
      <c r="B23" s="780">
        <v>2278.0333030000002</v>
      </c>
      <c r="C23" s="780">
        <v>1709.136377</v>
      </c>
      <c r="D23" s="780">
        <v>810.673903</v>
      </c>
      <c r="E23" s="780">
        <v>1226.7630570000001</v>
      </c>
      <c r="F23" s="780">
        <v>1289.3366590000001</v>
      </c>
      <c r="G23" s="780">
        <v>1.6866200000000002</v>
      </c>
      <c r="H23" s="780">
        <v>810.42091000000005</v>
      </c>
      <c r="I23" s="780">
        <v>763.27988100000016</v>
      </c>
      <c r="J23" s="780">
        <v>286.13508300000001</v>
      </c>
      <c r="K23" s="780">
        <v>49.755290000000002</v>
      </c>
      <c r="L23" s="780">
        <v>391.12717800000007</v>
      </c>
      <c r="M23" s="780">
        <v>0</v>
      </c>
      <c r="N23" s="780">
        <v>28.588208999999999</v>
      </c>
      <c r="O23" s="780">
        <v>890.87268400000016</v>
      </c>
      <c r="P23" s="780">
        <v>41.575182999999996</v>
      </c>
      <c r="Q23" s="780">
        <v>524.117165</v>
      </c>
      <c r="R23" s="780">
        <v>87.451246999999995</v>
      </c>
      <c r="S23" s="780">
        <v>16.02289</v>
      </c>
      <c r="T23" s="780">
        <v>890.6196910000001</v>
      </c>
      <c r="U23" s="780">
        <f t="shared" si="2"/>
        <v>12095.59533</v>
      </c>
      <c r="V23" s="36"/>
      <c r="W23" s="36"/>
      <c r="X23" s="36"/>
    </row>
    <row r="24" spans="1:24" s="1037" customFormat="1" ht="11.25" customHeight="1">
      <c r="A24" s="699" t="s">
        <v>749</v>
      </c>
      <c r="B24" s="779">
        <v>2854.3188786000001</v>
      </c>
      <c r="C24" s="779">
        <v>2195.5324155000003</v>
      </c>
      <c r="D24" s="779">
        <v>1261.3855466999998</v>
      </c>
      <c r="E24" s="779">
        <v>1388.2084890000001</v>
      </c>
      <c r="F24" s="779">
        <v>1673.1165246</v>
      </c>
      <c r="G24" s="779">
        <v>5.5764918000000003</v>
      </c>
      <c r="H24" s="779">
        <v>923.3318544</v>
      </c>
      <c r="I24" s="779">
        <v>965.91597359999992</v>
      </c>
      <c r="J24" s="779">
        <v>313.12846380000002</v>
      </c>
      <c r="K24" s="779">
        <v>56.187379500000006</v>
      </c>
      <c r="L24" s="779">
        <v>345.65799929999997</v>
      </c>
      <c r="M24" s="779">
        <v>0</v>
      </c>
      <c r="N24" s="779">
        <v>46.048303500000003</v>
      </c>
      <c r="O24" s="779">
        <v>1012.3022463</v>
      </c>
      <c r="P24" s="779">
        <v>62.862271199999995</v>
      </c>
      <c r="Q24" s="779">
        <v>557.22671850000006</v>
      </c>
      <c r="R24" s="779">
        <v>89.054884199999989</v>
      </c>
      <c r="S24" s="779">
        <v>15.2931063</v>
      </c>
      <c r="T24" s="779">
        <v>1005.4583699999999</v>
      </c>
      <c r="U24" s="779">
        <f t="shared" si="2"/>
        <v>14770.605916799999</v>
      </c>
      <c r="V24" s="36"/>
      <c r="W24" s="36"/>
      <c r="X24" s="36"/>
    </row>
    <row r="25" spans="1:24" s="1037" customFormat="1" ht="11.25" customHeight="1">
      <c r="A25" s="696" t="s">
        <v>740</v>
      </c>
      <c r="B25" s="780">
        <v>2209.7594999999997</v>
      </c>
      <c r="C25" s="780">
        <v>1793.8505</v>
      </c>
      <c r="D25" s="780">
        <v>689.26649999999995</v>
      </c>
      <c r="E25" s="780">
        <v>986.70650000000001</v>
      </c>
      <c r="F25" s="780">
        <v>1343.55</v>
      </c>
      <c r="G25" s="780">
        <v>2.6194999999999999</v>
      </c>
      <c r="H25" s="780">
        <v>710.98299999999995</v>
      </c>
      <c r="I25" s="780">
        <v>871.87100000000009</v>
      </c>
      <c r="J25" s="780">
        <v>312.988</v>
      </c>
      <c r="K25" s="780">
        <v>40.137500000000003</v>
      </c>
      <c r="L25" s="780">
        <v>287.04649999999998</v>
      </c>
      <c r="M25" s="780">
        <v>0</v>
      </c>
      <c r="N25" s="780">
        <v>30.5045</v>
      </c>
      <c r="O25" s="780">
        <v>870.60349999999994</v>
      </c>
      <c r="P25" s="780">
        <v>39.292500000000004</v>
      </c>
      <c r="Q25" s="780">
        <v>504.803</v>
      </c>
      <c r="R25" s="780">
        <v>93.963999999999999</v>
      </c>
      <c r="S25" s="780">
        <v>15.801500000000001</v>
      </c>
      <c r="T25" s="780">
        <v>757.54250000000172</v>
      </c>
      <c r="U25" s="780">
        <f t="shared" si="2"/>
        <v>11561.289999999999</v>
      </c>
      <c r="V25" s="36"/>
      <c r="W25" s="36"/>
      <c r="X25" s="36"/>
    </row>
    <row r="26" spans="1:24" s="1037" customFormat="1" ht="11.25" customHeight="1">
      <c r="A26" s="700" t="s">
        <v>2017</v>
      </c>
      <c r="B26" s="685">
        <f t="shared" ref="B26:T26" si="3">SUM(B27:B38)</f>
        <v>34046.098481299996</v>
      </c>
      <c r="C26" s="685">
        <f t="shared" si="3"/>
        <v>20962.529843</v>
      </c>
      <c r="D26" s="685">
        <f t="shared" si="3"/>
        <v>11571.721058799998</v>
      </c>
      <c r="E26" s="685">
        <f t="shared" si="3"/>
        <v>11633.0822479</v>
      </c>
      <c r="F26" s="685">
        <f t="shared" si="3"/>
        <v>20382.712716000005</v>
      </c>
      <c r="G26" s="685">
        <f t="shared" si="3"/>
        <v>34.065723600000005</v>
      </c>
      <c r="H26" s="685">
        <f t="shared" si="3"/>
        <v>8643.3577769000003</v>
      </c>
      <c r="I26" s="685">
        <f t="shared" si="3"/>
        <v>10517.8744919</v>
      </c>
      <c r="J26" s="685">
        <f t="shared" si="3"/>
        <v>3878.3621465999995</v>
      </c>
      <c r="K26" s="685">
        <f t="shared" si="3"/>
        <v>447.22381150000001</v>
      </c>
      <c r="L26" s="685">
        <f t="shared" si="3"/>
        <v>3706.6695920999996</v>
      </c>
      <c r="M26" s="685">
        <f t="shared" si="3"/>
        <v>8.4499999999999992E-2</v>
      </c>
      <c r="N26" s="685">
        <f t="shared" si="3"/>
        <v>418.39038869999996</v>
      </c>
      <c r="O26" s="685">
        <f t="shared" si="3"/>
        <v>10439.316572900001</v>
      </c>
      <c r="P26" s="685">
        <f t="shared" si="3"/>
        <v>519.89813179999999</v>
      </c>
      <c r="Q26" s="685">
        <f t="shared" si="3"/>
        <v>5926.4297523000005</v>
      </c>
      <c r="R26" s="685">
        <f t="shared" si="3"/>
        <v>1507.8597989999998</v>
      </c>
      <c r="S26" s="685">
        <f t="shared" si="3"/>
        <v>144.8888565</v>
      </c>
      <c r="T26" s="685">
        <f t="shared" si="3"/>
        <v>9572.4952561000027</v>
      </c>
      <c r="U26" s="685">
        <f>SUM(B26:T26)</f>
        <v>154353.06114690003</v>
      </c>
      <c r="V26" s="36"/>
      <c r="W26" s="36"/>
      <c r="X26" s="36"/>
    </row>
    <row r="27" spans="1:24" s="1037" customFormat="1" ht="11.25" customHeight="1">
      <c r="A27" s="696" t="s">
        <v>742</v>
      </c>
      <c r="B27" s="780">
        <v>2799.04925</v>
      </c>
      <c r="C27" s="780">
        <v>2005.1755080000003</v>
      </c>
      <c r="D27" s="780">
        <v>1026.0786428000001</v>
      </c>
      <c r="E27" s="780">
        <v>1222.0332152000001</v>
      </c>
      <c r="F27" s="780">
        <v>1318.2782596</v>
      </c>
      <c r="G27" s="780">
        <v>3.9714811999999995</v>
      </c>
      <c r="H27" s="780">
        <v>882.68282160000001</v>
      </c>
      <c r="I27" s="780">
        <v>893.83676880000007</v>
      </c>
      <c r="J27" s="780">
        <v>300.4805776</v>
      </c>
      <c r="K27" s="780">
        <v>41.996301199999998</v>
      </c>
      <c r="L27" s="780">
        <v>342.89937679999997</v>
      </c>
      <c r="M27" s="780">
        <v>0</v>
      </c>
      <c r="N27" s="780">
        <v>41.151305200000003</v>
      </c>
      <c r="O27" s="780">
        <v>969.80190920000007</v>
      </c>
      <c r="P27" s="780">
        <v>51.882754399999996</v>
      </c>
      <c r="Q27" s="780">
        <v>536.82595879999997</v>
      </c>
      <c r="R27" s="780">
        <v>113.06046480000001</v>
      </c>
      <c r="S27" s="780">
        <v>14.618430799999999</v>
      </c>
      <c r="T27" s="780">
        <v>936.5935663999993</v>
      </c>
      <c r="U27" s="780">
        <f t="shared" si="2"/>
        <v>13500.416592399997</v>
      </c>
      <c r="V27" s="36"/>
      <c r="W27" s="36"/>
      <c r="X27" s="36"/>
    </row>
    <row r="28" spans="1:24" s="1037" customFormat="1" ht="11.25" customHeight="1">
      <c r="A28" s="699" t="s">
        <v>743</v>
      </c>
      <c r="B28" s="779">
        <v>2574.6305000000002</v>
      </c>
      <c r="C28" s="779">
        <v>1477.9895000000001</v>
      </c>
      <c r="D28" s="779">
        <v>931.69700000000012</v>
      </c>
      <c r="E28" s="779">
        <v>981.38300000000004</v>
      </c>
      <c r="F28" s="779">
        <v>1449.8510000000001</v>
      </c>
      <c r="G28" s="779">
        <v>2.5349999999999997</v>
      </c>
      <c r="H28" s="779">
        <v>749.68399999999997</v>
      </c>
      <c r="I28" s="779">
        <v>954.25850000000014</v>
      </c>
      <c r="J28" s="779">
        <v>304.45350000000002</v>
      </c>
      <c r="K28" s="779">
        <v>35.152000000000001</v>
      </c>
      <c r="L28" s="779">
        <v>329.88800000000003</v>
      </c>
      <c r="M28" s="779">
        <v>8.4499999999999992E-2</v>
      </c>
      <c r="N28" s="779">
        <v>42.756999999999998</v>
      </c>
      <c r="O28" s="779">
        <v>883.78549999999996</v>
      </c>
      <c r="P28" s="779">
        <v>40.813499999999998</v>
      </c>
      <c r="Q28" s="779">
        <v>516.63300000000004</v>
      </c>
      <c r="R28" s="779">
        <v>105.79400000000001</v>
      </c>
      <c r="S28" s="779">
        <v>12.2525</v>
      </c>
      <c r="T28" s="779">
        <v>814.49550000000079</v>
      </c>
      <c r="U28" s="779">
        <f t="shared" si="2"/>
        <v>12208.137500000004</v>
      </c>
      <c r="V28" s="36"/>
      <c r="W28" s="36"/>
      <c r="X28" s="36"/>
    </row>
    <row r="29" spans="1:24" s="1037" customFormat="1" ht="11.25" customHeight="1">
      <c r="A29" s="1075" t="s">
        <v>737</v>
      </c>
      <c r="B29" s="1027">
        <v>2630.8229999999999</v>
      </c>
      <c r="C29" s="1027">
        <v>1795.5405000000003</v>
      </c>
      <c r="D29" s="1027">
        <v>901.19250000000011</v>
      </c>
      <c r="E29" s="1027">
        <v>988.65</v>
      </c>
      <c r="F29" s="1027">
        <v>1374.6460000000002</v>
      </c>
      <c r="G29" s="1027">
        <v>4.1405000000000003</v>
      </c>
      <c r="H29" s="1027">
        <v>774.4425</v>
      </c>
      <c r="I29" s="1027">
        <v>846.35200000000009</v>
      </c>
      <c r="J29" s="1027">
        <v>303.35499999999996</v>
      </c>
      <c r="K29" s="1027">
        <v>38.363</v>
      </c>
      <c r="L29" s="1027">
        <v>313.32599999999996</v>
      </c>
      <c r="M29" s="1027">
        <v>0</v>
      </c>
      <c r="N29" s="1027">
        <v>31.940999999999995</v>
      </c>
      <c r="O29" s="1027">
        <v>843.56349999999998</v>
      </c>
      <c r="P29" s="1027">
        <v>37.9405</v>
      </c>
      <c r="Q29" s="1027">
        <v>589.47199999999998</v>
      </c>
      <c r="R29" s="1027">
        <v>102.1605</v>
      </c>
      <c r="S29" s="1027">
        <v>12.5905</v>
      </c>
      <c r="T29" s="1027">
        <v>891.39050000000066</v>
      </c>
      <c r="U29" s="1027">
        <f t="shared" si="2"/>
        <v>12479.889500000003</v>
      </c>
      <c r="V29" s="36"/>
      <c r="W29" s="36"/>
      <c r="X29" s="36"/>
    </row>
    <row r="30" spans="1:24" s="1037" customFormat="1" ht="11.25" customHeight="1">
      <c r="A30" s="699" t="s">
        <v>744</v>
      </c>
      <c r="B30" s="1079">
        <v>2898.3456161999998</v>
      </c>
      <c r="C30" s="1079">
        <v>2037.5883630000001</v>
      </c>
      <c r="D30" s="1079">
        <v>1195.5432239999998</v>
      </c>
      <c r="E30" s="1079">
        <v>1028.2349087999999</v>
      </c>
      <c r="F30" s="1079">
        <v>1734.3843767999999</v>
      </c>
      <c r="G30" s="1079">
        <v>4.0641695999999996</v>
      </c>
      <c r="H30" s="1079">
        <v>800.30273039999997</v>
      </c>
      <c r="I30" s="1079">
        <v>932.47291259999986</v>
      </c>
      <c r="J30" s="1079">
        <v>347.14781999999997</v>
      </c>
      <c r="K30" s="1079">
        <v>35.646154199999998</v>
      </c>
      <c r="L30" s="1079">
        <v>266.28777899999994</v>
      </c>
      <c r="M30" s="1079">
        <v>0</v>
      </c>
      <c r="N30" s="1079">
        <v>30.142591199999998</v>
      </c>
      <c r="O30" s="1079">
        <v>835.61020379999991</v>
      </c>
      <c r="P30" s="1079">
        <v>44.197844399999994</v>
      </c>
      <c r="Q30" s="1079">
        <v>591.50601719999997</v>
      </c>
      <c r="R30" s="1079">
        <v>175.60599479999999</v>
      </c>
      <c r="S30" s="1079">
        <v>11.007126</v>
      </c>
      <c r="T30" s="1079">
        <v>931.96489140000142</v>
      </c>
      <c r="U30" s="1079">
        <f t="shared" si="2"/>
        <v>13900.052723400002</v>
      </c>
      <c r="V30" s="36"/>
      <c r="W30" s="36"/>
      <c r="X30" s="36"/>
    </row>
    <row r="31" spans="1:24" s="1037" customFormat="1" ht="11.25" customHeight="1">
      <c r="A31" s="696" t="s">
        <v>745</v>
      </c>
      <c r="B31" s="1027">
        <v>2790.5666150000002</v>
      </c>
      <c r="C31" s="1027">
        <v>2029.2332350000001</v>
      </c>
      <c r="D31" s="1027">
        <v>1043.7388910000002</v>
      </c>
      <c r="E31" s="1027">
        <v>939.71260400000006</v>
      </c>
      <c r="F31" s="1027">
        <v>1687.8201480000002</v>
      </c>
      <c r="G31" s="1027">
        <v>4.3238310000000002</v>
      </c>
      <c r="H31" s="1027">
        <v>665.61563100000012</v>
      </c>
      <c r="I31" s="1027">
        <v>839.07755699999996</v>
      </c>
      <c r="J31" s="1027">
        <v>335.39363600000007</v>
      </c>
      <c r="K31" s="1027">
        <v>42.051376000000005</v>
      </c>
      <c r="L31" s="1027">
        <v>244.76274700000005</v>
      </c>
      <c r="M31" s="1027">
        <v>0</v>
      </c>
      <c r="N31" s="1027">
        <v>27.723387000000002</v>
      </c>
      <c r="O31" s="1027">
        <v>949.46241900000007</v>
      </c>
      <c r="P31" s="1027">
        <v>43.662215000000003</v>
      </c>
      <c r="Q31" s="1027">
        <v>595.24740099999997</v>
      </c>
      <c r="R31" s="1027">
        <v>136.41262900000001</v>
      </c>
      <c r="S31" s="1027">
        <v>10.851968000000001</v>
      </c>
      <c r="T31" s="1027">
        <v>799.73917300000039</v>
      </c>
      <c r="U31" s="1027">
        <f t="shared" si="2"/>
        <v>13185.395463000004</v>
      </c>
      <c r="V31" s="36"/>
      <c r="W31" s="36"/>
      <c r="X31" s="36"/>
    </row>
    <row r="32" spans="1:24" s="1037" customFormat="1" ht="11.25" customHeight="1">
      <c r="A32" s="699" t="s">
        <v>738</v>
      </c>
      <c r="B32" s="1079">
        <v>2850.2939832000002</v>
      </c>
      <c r="C32" s="1079">
        <v>1994.6030096</v>
      </c>
      <c r="D32" s="1079">
        <v>1130.3372975999998</v>
      </c>
      <c r="E32" s="1079">
        <v>1150.4582183999999</v>
      </c>
      <c r="F32" s="1079">
        <v>1762.3209872</v>
      </c>
      <c r="G32" s="1079">
        <v>5.0939040000000002</v>
      </c>
      <c r="H32" s="1079">
        <v>877.84945599999992</v>
      </c>
      <c r="I32" s="1079">
        <v>843.38070559999994</v>
      </c>
      <c r="J32" s="1079">
        <v>376.94889599999999</v>
      </c>
      <c r="K32" s="1079">
        <v>46.948815199999999</v>
      </c>
      <c r="L32" s="1079">
        <v>370.41171919999999</v>
      </c>
      <c r="M32" s="1079">
        <v>0</v>
      </c>
      <c r="N32" s="1079">
        <v>46.948815199999999</v>
      </c>
      <c r="O32" s="1079">
        <v>962.23846560000004</v>
      </c>
      <c r="P32" s="1079">
        <v>54.504772799999998</v>
      </c>
      <c r="Q32" s="1079">
        <v>702.78895519999992</v>
      </c>
      <c r="R32" s="1079">
        <v>179.30542080000001</v>
      </c>
      <c r="S32" s="1079">
        <v>14.517626399999997</v>
      </c>
      <c r="T32" s="1079">
        <v>993.14148320000118</v>
      </c>
      <c r="U32" s="1079">
        <f t="shared" si="2"/>
        <v>14362.0925312</v>
      </c>
      <c r="V32" s="36"/>
      <c r="W32" s="36"/>
      <c r="X32" s="36"/>
    </row>
    <row r="33" spans="1:24" s="1037" customFormat="1" ht="11.25" customHeight="1">
      <c r="A33" s="696" t="s">
        <v>746</v>
      </c>
      <c r="B33" s="1027">
        <v>2726.9880000000003</v>
      </c>
      <c r="C33" s="1027">
        <v>1807.1814000000002</v>
      </c>
      <c r="D33" s="1027">
        <v>1188.5999999999999</v>
      </c>
      <c r="E33" s="1027">
        <v>1169.1579000000002</v>
      </c>
      <c r="F33" s="1027">
        <v>1894.7982000000004</v>
      </c>
      <c r="G33" s="1027">
        <v>3.1413000000000002</v>
      </c>
      <c r="H33" s="1027">
        <v>798.82410000000004</v>
      </c>
      <c r="I33" s="1027">
        <v>773.69370000000004</v>
      </c>
      <c r="J33" s="1027">
        <v>385.44600000000003</v>
      </c>
      <c r="K33" s="1027">
        <v>46.864799999999995</v>
      </c>
      <c r="L33" s="1027">
        <v>311.24339999999995</v>
      </c>
      <c r="M33" s="1027">
        <v>0</v>
      </c>
      <c r="N33" s="1027">
        <v>33.280799999999999</v>
      </c>
      <c r="O33" s="1027">
        <v>1028.3937000000001</v>
      </c>
      <c r="P33" s="1027">
        <v>52.383300000000006</v>
      </c>
      <c r="Q33" s="1027">
        <v>620.10960000000011</v>
      </c>
      <c r="R33" s="1027">
        <v>147.38640000000001</v>
      </c>
      <c r="S33" s="1027">
        <v>14.857500000000002</v>
      </c>
      <c r="T33" s="1027">
        <v>907.9206000000006</v>
      </c>
      <c r="U33" s="1027">
        <f t="shared" si="2"/>
        <v>13910.270700000001</v>
      </c>
      <c r="V33" s="36"/>
      <c r="W33" s="36"/>
      <c r="X33" s="36"/>
    </row>
    <row r="34" spans="1:24" s="1037" customFormat="1" ht="11.25" customHeight="1">
      <c r="A34" s="699" t="s">
        <v>747</v>
      </c>
      <c r="B34" s="1079">
        <v>2621.1075660000001</v>
      </c>
      <c r="C34" s="1079">
        <v>1628.7310116000001</v>
      </c>
      <c r="D34" s="1079">
        <v>947.09863079999991</v>
      </c>
      <c r="E34" s="1079">
        <v>958.65172199999995</v>
      </c>
      <c r="F34" s="1079">
        <v>1764.3099348000001</v>
      </c>
      <c r="G34" s="1079">
        <v>1.9538316000000002</v>
      </c>
      <c r="H34" s="1079">
        <v>713.82812760000002</v>
      </c>
      <c r="I34" s="1079">
        <v>812.19930120000004</v>
      </c>
      <c r="J34" s="1079">
        <v>293.58443520000003</v>
      </c>
      <c r="K34" s="1079">
        <v>31.006458000000002</v>
      </c>
      <c r="L34" s="1079">
        <v>288.31758479999996</v>
      </c>
      <c r="M34" s="1079">
        <v>0</v>
      </c>
      <c r="N34" s="1079">
        <v>25.8245568</v>
      </c>
      <c r="O34" s="1079">
        <v>895.02477120000003</v>
      </c>
      <c r="P34" s="1079">
        <v>33.809781600000001</v>
      </c>
      <c r="Q34" s="1079">
        <v>482.8512528</v>
      </c>
      <c r="R34" s="1079">
        <v>97.436732400000011</v>
      </c>
      <c r="S34" s="1079">
        <v>11.468142000000002</v>
      </c>
      <c r="T34" s="1079">
        <v>729.11898360000043</v>
      </c>
      <c r="U34" s="1079">
        <f t="shared" si="2"/>
        <v>12336.322824000001</v>
      </c>
      <c r="V34" s="36"/>
      <c r="W34" s="36"/>
      <c r="X34" s="36"/>
    </row>
    <row r="35" spans="1:24" s="1037" customFormat="1" ht="11.25" customHeight="1">
      <c r="A35" s="696" t="s">
        <v>739</v>
      </c>
      <c r="B35" s="1027">
        <v>2434.8369000000002</v>
      </c>
      <c r="C35" s="1027">
        <v>1353.5083500000001</v>
      </c>
      <c r="D35" s="1027">
        <v>692.42745000000002</v>
      </c>
      <c r="E35" s="1027">
        <v>822.74074999999993</v>
      </c>
      <c r="F35" s="1027">
        <v>1523.4933000000001</v>
      </c>
      <c r="G35" s="1027">
        <v>1.1893</v>
      </c>
      <c r="H35" s="1027">
        <v>601.19114999999999</v>
      </c>
      <c r="I35" s="1027">
        <v>702.79135000000008</v>
      </c>
      <c r="J35" s="1027">
        <v>318.47755000000001</v>
      </c>
      <c r="K35" s="1027">
        <v>34.234850000000009</v>
      </c>
      <c r="L35" s="1027">
        <v>329.52105</v>
      </c>
      <c r="M35" s="1027">
        <v>0</v>
      </c>
      <c r="N35" s="1027">
        <v>35.933850000000007</v>
      </c>
      <c r="O35" s="1027">
        <v>813.05644999999993</v>
      </c>
      <c r="P35" s="1027">
        <v>29.477650000000001</v>
      </c>
      <c r="Q35" s="1027">
        <v>374.45960000000002</v>
      </c>
      <c r="R35" s="1027">
        <v>110.18015</v>
      </c>
      <c r="S35" s="1027">
        <v>11.5532</v>
      </c>
      <c r="T35" s="1027">
        <v>652.75579999999934</v>
      </c>
      <c r="U35" s="1027">
        <f t="shared" si="2"/>
        <v>10841.8287</v>
      </c>
      <c r="V35" s="36"/>
      <c r="W35" s="36"/>
      <c r="X35" s="36"/>
    </row>
    <row r="36" spans="1:24" s="1037" customFormat="1" ht="11.25" customHeight="1">
      <c r="A36" s="699" t="s">
        <v>748</v>
      </c>
      <c r="B36" s="1079">
        <v>2362.2896000000001</v>
      </c>
      <c r="C36" s="1079">
        <v>1355.6321000000003</v>
      </c>
      <c r="D36" s="1079">
        <v>688.17995000000008</v>
      </c>
      <c r="E36" s="1079">
        <v>749.4289</v>
      </c>
      <c r="F36" s="1079">
        <v>1455.7881500000001</v>
      </c>
      <c r="G36" s="1079">
        <v>1.3592</v>
      </c>
      <c r="H36" s="1079">
        <v>289.67950000000002</v>
      </c>
      <c r="I36" s="1079">
        <v>611.47010000000012</v>
      </c>
      <c r="J36" s="1079">
        <v>251.70684999999997</v>
      </c>
      <c r="K36" s="1079">
        <v>25.909749999999995</v>
      </c>
      <c r="L36" s="1079">
        <v>209.91145</v>
      </c>
      <c r="M36" s="1079">
        <v>0</v>
      </c>
      <c r="N36" s="1079">
        <v>22.256900000000002</v>
      </c>
      <c r="O36" s="1079">
        <v>458.47515000000004</v>
      </c>
      <c r="P36" s="1079">
        <v>25.230150000000002</v>
      </c>
      <c r="Q36" s="1079">
        <v>202.52080000000001</v>
      </c>
      <c r="R36" s="1079">
        <v>140.25245000000001</v>
      </c>
      <c r="S36" s="1079">
        <v>8.495000000000001</v>
      </c>
      <c r="T36" s="1079">
        <v>426.10919999999976</v>
      </c>
      <c r="U36" s="1079">
        <f t="shared" si="2"/>
        <v>9284.6952000000001</v>
      </c>
      <c r="V36" s="36"/>
      <c r="W36" s="36"/>
      <c r="X36" s="36"/>
    </row>
    <row r="37" spans="1:24" s="1037" customFormat="1" ht="11.25" customHeight="1">
      <c r="A37" s="696" t="s">
        <v>749</v>
      </c>
      <c r="B37" s="1027">
        <v>3228.1849499999998</v>
      </c>
      <c r="C37" s="1027">
        <v>1666.3792000000001</v>
      </c>
      <c r="D37" s="1027">
        <v>856.89065000000005</v>
      </c>
      <c r="E37" s="1027">
        <v>487.69794999999993</v>
      </c>
      <c r="F37" s="1027">
        <v>2267.57035</v>
      </c>
      <c r="G37" s="1027">
        <v>1.1043499999999999</v>
      </c>
      <c r="H37" s="1027">
        <v>577.15030000000002</v>
      </c>
      <c r="I37" s="1027">
        <v>1157.7835499999999</v>
      </c>
      <c r="J37" s="1027">
        <v>292.31295</v>
      </c>
      <c r="K37" s="1027">
        <v>31.4315</v>
      </c>
      <c r="L37" s="1027">
        <v>318.73240000000004</v>
      </c>
      <c r="M37" s="1027">
        <v>0</v>
      </c>
      <c r="N37" s="1027">
        <v>33.6402</v>
      </c>
      <c r="O37" s="1027">
        <v>846.52674999999999</v>
      </c>
      <c r="P37" s="1027">
        <v>47.232199999999999</v>
      </c>
      <c r="Q37" s="1027">
        <v>286.7912</v>
      </c>
      <c r="R37" s="1027">
        <v>74.246300000000005</v>
      </c>
      <c r="S37" s="1027">
        <v>9.8542000000000005</v>
      </c>
      <c r="T37" s="1027">
        <v>598.04799999999989</v>
      </c>
      <c r="U37" s="1027">
        <f t="shared" si="2"/>
        <v>12781.577000000001</v>
      </c>
      <c r="V37" s="36"/>
      <c r="W37" s="36"/>
      <c r="X37" s="36"/>
    </row>
    <row r="38" spans="1:24" s="1037" customFormat="1" ht="11.25" customHeight="1">
      <c r="A38" s="699" t="s">
        <v>740</v>
      </c>
      <c r="B38" s="1079">
        <v>4128.9825008999996</v>
      </c>
      <c r="C38" s="1079">
        <v>1810.9676658000001</v>
      </c>
      <c r="D38" s="1079">
        <v>969.93682260000003</v>
      </c>
      <c r="E38" s="1079">
        <v>1134.9330795000001</v>
      </c>
      <c r="F38" s="1079">
        <v>2149.4520096000001</v>
      </c>
      <c r="G38" s="1079">
        <v>1.1888562000000003</v>
      </c>
      <c r="H38" s="1079">
        <v>912.10746029999996</v>
      </c>
      <c r="I38" s="1079">
        <v>1150.5580467000002</v>
      </c>
      <c r="J38" s="1079">
        <v>369.05493180000002</v>
      </c>
      <c r="K38" s="1079">
        <v>37.618806899999996</v>
      </c>
      <c r="L38" s="1079">
        <v>381.36808529999996</v>
      </c>
      <c r="M38" s="1079">
        <v>0</v>
      </c>
      <c r="N38" s="1079">
        <v>46.789983300000003</v>
      </c>
      <c r="O38" s="1079">
        <v>953.37775409999995</v>
      </c>
      <c r="P38" s="1079">
        <v>58.763463600000001</v>
      </c>
      <c r="Q38" s="1079">
        <v>427.22396730000003</v>
      </c>
      <c r="R38" s="1079">
        <v>126.01875720000001</v>
      </c>
      <c r="S38" s="1079">
        <v>12.822663299999999</v>
      </c>
      <c r="T38" s="1079">
        <v>891.21755850000045</v>
      </c>
      <c r="U38" s="1079">
        <f t="shared" si="2"/>
        <v>15562.382412899999</v>
      </c>
      <c r="V38" s="36"/>
      <c r="W38" s="36"/>
      <c r="X38" s="36"/>
    </row>
    <row r="39" spans="1:24" s="1037" customFormat="1" ht="11.25" customHeight="1">
      <c r="A39" s="701" t="s">
        <v>2114</v>
      </c>
      <c r="B39" s="697">
        <f t="shared" ref="B39:T39" si="4">SUM(B40:B51)</f>
        <v>48521.200303699996</v>
      </c>
      <c r="C39" s="697">
        <f t="shared" si="4"/>
        <v>20692.835907599998</v>
      </c>
      <c r="D39" s="697">
        <f t="shared" si="4"/>
        <v>17161.472797799997</v>
      </c>
      <c r="E39" s="697">
        <f t="shared" si="4"/>
        <v>15998.640572499999</v>
      </c>
      <c r="F39" s="697">
        <f t="shared" si="4"/>
        <v>29357.019671900005</v>
      </c>
      <c r="G39" s="697">
        <f t="shared" si="4"/>
        <v>59.023163700000005</v>
      </c>
      <c r="H39" s="697">
        <f t="shared" si="4"/>
        <v>12298.410095000001</v>
      </c>
      <c r="I39" s="697">
        <f t="shared" si="4"/>
        <v>13023.291548699999</v>
      </c>
      <c r="J39" s="697">
        <f t="shared" si="4"/>
        <v>5299.2566540000007</v>
      </c>
      <c r="K39" s="697">
        <f t="shared" si="4"/>
        <v>567.26565100000005</v>
      </c>
      <c r="L39" s="697">
        <f t="shared" si="4"/>
        <v>4899.6029505999995</v>
      </c>
      <c r="M39" s="697">
        <f t="shared" si="4"/>
        <v>8.4802499999999989E-2</v>
      </c>
      <c r="N39" s="697">
        <f t="shared" si="4"/>
        <v>674.5472201</v>
      </c>
      <c r="O39" s="697">
        <f t="shared" si="4"/>
        <v>16981.377058799997</v>
      </c>
      <c r="P39" s="697">
        <f t="shared" si="4"/>
        <v>1202.2905979</v>
      </c>
      <c r="Q39" s="697">
        <f t="shared" si="4"/>
        <v>6877.0052047999989</v>
      </c>
      <c r="R39" s="697">
        <f t="shared" si="4"/>
        <v>1773.7958544999999</v>
      </c>
      <c r="S39" s="697">
        <f t="shared" si="4"/>
        <v>181.14529060000001</v>
      </c>
      <c r="T39" s="697">
        <f t="shared" si="4"/>
        <v>14562.336121399996</v>
      </c>
      <c r="U39" s="697">
        <f>SUM(B39:T39)</f>
        <v>210130.6014671</v>
      </c>
      <c r="V39" s="36"/>
      <c r="W39" s="36"/>
      <c r="X39" s="36"/>
    </row>
    <row r="40" spans="1:24" s="1037" customFormat="1" ht="11.25" customHeight="1">
      <c r="A40" s="699" t="s">
        <v>742</v>
      </c>
      <c r="B40" s="1079">
        <v>5365.20712</v>
      </c>
      <c r="C40" s="1079">
        <v>2411.0355359999999</v>
      </c>
      <c r="D40" s="1079">
        <v>1560.6256119999998</v>
      </c>
      <c r="E40" s="1079">
        <v>1467.8412839999999</v>
      </c>
      <c r="F40" s="1079">
        <v>2913.6314480000001</v>
      </c>
      <c r="G40" s="1079">
        <v>3.2228560000000002</v>
      </c>
      <c r="H40" s="1079">
        <v>1082.7948039999999</v>
      </c>
      <c r="I40" s="1079">
        <v>1680.804216</v>
      </c>
      <c r="J40" s="1079">
        <v>702.328172</v>
      </c>
      <c r="K40" s="1079">
        <v>48.7669</v>
      </c>
      <c r="L40" s="1079">
        <v>514.89365199999997</v>
      </c>
      <c r="M40" s="1079">
        <v>0</v>
      </c>
      <c r="N40" s="1079">
        <v>74.888995999999992</v>
      </c>
      <c r="O40" s="1079">
        <v>1997.9162839999997</v>
      </c>
      <c r="P40" s="1079">
        <v>104.23394799999998</v>
      </c>
      <c r="Q40" s="1079">
        <v>569.00370799999996</v>
      </c>
      <c r="R40" s="1079">
        <v>179.63181600000001</v>
      </c>
      <c r="S40" s="1079">
        <v>15.181348</v>
      </c>
      <c r="T40" s="1079">
        <v>1343.9309520000002</v>
      </c>
      <c r="U40" s="1079">
        <f t="shared" si="2"/>
        <v>22035.938651999997</v>
      </c>
      <c r="V40" s="36"/>
      <c r="W40" s="36"/>
      <c r="X40" s="36"/>
    </row>
    <row r="41" spans="1:24" s="1037" customFormat="1" ht="11.25" customHeight="1">
      <c r="A41" s="696" t="s">
        <v>743</v>
      </c>
      <c r="B41" s="1027">
        <v>3822.6756620000001</v>
      </c>
      <c r="C41" s="1027">
        <v>1999.0613569999998</v>
      </c>
      <c r="D41" s="1027">
        <v>1247.6423339999999</v>
      </c>
      <c r="E41" s="1027">
        <v>1160.173325</v>
      </c>
      <c r="F41" s="1027">
        <v>1864.082508</v>
      </c>
      <c r="G41" s="1027">
        <v>1.8664580000000002</v>
      </c>
      <c r="H41" s="1027">
        <v>865.69715599999995</v>
      </c>
      <c r="I41" s="1027">
        <v>1141.6784229999998</v>
      </c>
      <c r="J41" s="1027">
        <v>510.39142400000003</v>
      </c>
      <c r="K41" s="1027">
        <v>39.110779000000001</v>
      </c>
      <c r="L41" s="1027">
        <v>392.21069699999998</v>
      </c>
      <c r="M41" s="1027">
        <v>0</v>
      </c>
      <c r="N41" s="1027">
        <v>50.055010000000003</v>
      </c>
      <c r="O41" s="1027">
        <v>1665.4744089999999</v>
      </c>
      <c r="P41" s="1027">
        <v>85.602550999999991</v>
      </c>
      <c r="Q41" s="1027">
        <v>686.26267099999995</v>
      </c>
      <c r="R41" s="1027">
        <v>125.222364</v>
      </c>
      <c r="S41" s="1027">
        <v>12.725849999999999</v>
      </c>
      <c r="T41" s="1027">
        <v>991.93758800000069</v>
      </c>
      <c r="U41" s="1027">
        <f t="shared" si="2"/>
        <v>16661.870566000001</v>
      </c>
      <c r="V41" s="36"/>
      <c r="W41" s="36"/>
      <c r="X41" s="36"/>
    </row>
    <row r="42" spans="1:24" s="1037" customFormat="1" ht="11.25" customHeight="1">
      <c r="A42" s="699" t="s">
        <v>737</v>
      </c>
      <c r="B42" s="1079">
        <v>4502.4191324999993</v>
      </c>
      <c r="C42" s="1079">
        <v>1963.517085</v>
      </c>
      <c r="D42" s="1079">
        <v>1569.4398674999998</v>
      </c>
      <c r="E42" s="1079">
        <v>1327.4983349999998</v>
      </c>
      <c r="F42" s="1079">
        <v>2136.514185</v>
      </c>
      <c r="G42" s="1079">
        <v>1.9504575</v>
      </c>
      <c r="H42" s="1079">
        <v>990.57800250000003</v>
      </c>
      <c r="I42" s="1079">
        <v>1299.5983124999998</v>
      </c>
      <c r="J42" s="1079">
        <v>390.85472250000004</v>
      </c>
      <c r="K42" s="1079">
        <v>41.553225000000005</v>
      </c>
      <c r="L42" s="1079">
        <v>449.02923750000002</v>
      </c>
      <c r="M42" s="1079">
        <v>8.4802499999999989E-2</v>
      </c>
      <c r="N42" s="1079">
        <v>56.732872499999999</v>
      </c>
      <c r="O42" s="1079">
        <v>1487.0966400000002</v>
      </c>
      <c r="P42" s="1079">
        <v>102.01740749999999</v>
      </c>
      <c r="Q42" s="1079">
        <v>668.49810749999995</v>
      </c>
      <c r="R42" s="1079">
        <v>167.40013499999998</v>
      </c>
      <c r="S42" s="1079">
        <v>13.398795000000002</v>
      </c>
      <c r="T42" s="1079">
        <v>1073.2604400000014</v>
      </c>
      <c r="U42" s="1079">
        <f t="shared" si="2"/>
        <v>18241.441762500002</v>
      </c>
      <c r="V42" s="36"/>
      <c r="W42" s="36"/>
      <c r="X42" s="36"/>
    </row>
    <row r="43" spans="1:24" s="1037" customFormat="1" ht="11.25" customHeight="1">
      <c r="A43" s="696" t="s">
        <v>744</v>
      </c>
      <c r="B43" s="1027">
        <v>4237.6557333000001</v>
      </c>
      <c r="C43" s="1027">
        <v>1826.5567397</v>
      </c>
      <c r="D43" s="1027">
        <v>1457.7515370000001</v>
      </c>
      <c r="E43" s="1027">
        <v>1315.9620914000002</v>
      </c>
      <c r="F43" s="1027">
        <v>2335.6249465999999</v>
      </c>
      <c r="G43" s="1027">
        <v>3.4768943000000001</v>
      </c>
      <c r="H43" s="1027">
        <v>871.93724859999998</v>
      </c>
      <c r="I43" s="1027">
        <v>1322.1526593000001</v>
      </c>
      <c r="J43" s="1027">
        <v>396.02674100000002</v>
      </c>
      <c r="K43" s="1027">
        <v>40.0266856</v>
      </c>
      <c r="L43" s="1027">
        <v>381.61035000000004</v>
      </c>
      <c r="M43" s="1027">
        <v>0</v>
      </c>
      <c r="N43" s="1027">
        <v>57.156750199999998</v>
      </c>
      <c r="O43" s="1027">
        <v>1588.4318813</v>
      </c>
      <c r="P43" s="1027">
        <v>82.343033300000016</v>
      </c>
      <c r="Q43" s="1027">
        <v>541.5474878</v>
      </c>
      <c r="R43" s="1027">
        <v>222.69083979999999</v>
      </c>
      <c r="S43" s="1027">
        <v>10.345880599999999</v>
      </c>
      <c r="T43" s="1027">
        <v>1135.5027969999987</v>
      </c>
      <c r="U43" s="1027">
        <f t="shared" si="2"/>
        <v>17826.8002968</v>
      </c>
      <c r="V43" s="36"/>
      <c r="W43" s="36"/>
      <c r="X43" s="36"/>
    </row>
    <row r="44" spans="1:24" s="1037" customFormat="1" ht="11.25" customHeight="1">
      <c r="A44" s="699" t="s">
        <v>745</v>
      </c>
      <c r="B44" s="1079">
        <v>3994.0187495</v>
      </c>
      <c r="C44" s="1079">
        <v>1790.6473579999997</v>
      </c>
      <c r="D44" s="1079">
        <v>1516.2329400000001</v>
      </c>
      <c r="E44" s="1079">
        <v>1310.2525254999998</v>
      </c>
      <c r="F44" s="1079">
        <v>2319.2936749999999</v>
      </c>
      <c r="G44" s="1079">
        <v>2.9680174999999998</v>
      </c>
      <c r="H44" s="1079">
        <v>954.00562500000001</v>
      </c>
      <c r="I44" s="1079">
        <v>1086.124804</v>
      </c>
      <c r="J44" s="1079">
        <v>488.19647850000001</v>
      </c>
      <c r="K44" s="1079">
        <v>48.421085499999997</v>
      </c>
      <c r="L44" s="1079">
        <v>406.19439499999999</v>
      </c>
      <c r="M44" s="1079">
        <v>0</v>
      </c>
      <c r="N44" s="1079">
        <v>61.819564499999998</v>
      </c>
      <c r="O44" s="1079">
        <v>1598.5742255</v>
      </c>
      <c r="P44" s="1079">
        <v>100.14939050000001</v>
      </c>
      <c r="Q44" s="1079">
        <v>511.43181549999997</v>
      </c>
      <c r="R44" s="1079">
        <v>218.7004895</v>
      </c>
      <c r="S44" s="1079">
        <v>12.9744765</v>
      </c>
      <c r="T44" s="1079">
        <v>1207.8135214999986</v>
      </c>
      <c r="U44" s="1079">
        <f t="shared" si="2"/>
        <v>17627.819137000002</v>
      </c>
      <c r="V44" s="36"/>
      <c r="W44" s="36"/>
      <c r="X44" s="36"/>
    </row>
    <row r="45" spans="1:24" s="1037" customFormat="1" ht="11.25" customHeight="1">
      <c r="A45" s="696" t="s">
        <v>738</v>
      </c>
      <c r="B45" s="1027">
        <v>4091.1056731999997</v>
      </c>
      <c r="C45" s="1027">
        <v>1654.5386533000001</v>
      </c>
      <c r="D45" s="1027">
        <v>1298.5469939</v>
      </c>
      <c r="E45" s="1027">
        <v>1384.4496977999997</v>
      </c>
      <c r="F45" s="1027">
        <v>2394.3364704999999</v>
      </c>
      <c r="G45" s="1027">
        <v>5.5968198000000005</v>
      </c>
      <c r="H45" s="1027">
        <v>953.15537199999994</v>
      </c>
      <c r="I45" s="1027">
        <v>843.84778530000006</v>
      </c>
      <c r="J45" s="1027">
        <v>434.09273569999993</v>
      </c>
      <c r="K45" s="1027">
        <v>54.865794099999995</v>
      </c>
      <c r="L45" s="1027">
        <v>429.85272069999991</v>
      </c>
      <c r="M45" s="1027">
        <v>0</v>
      </c>
      <c r="N45" s="1027">
        <v>73.097858599999981</v>
      </c>
      <c r="O45" s="1027">
        <v>1387.5873088999999</v>
      </c>
      <c r="P45" s="1027">
        <v>112.44519779999999</v>
      </c>
      <c r="Q45" s="1027">
        <v>674.75598709999986</v>
      </c>
      <c r="R45" s="1027">
        <v>190.03747229999999</v>
      </c>
      <c r="S45" s="1027">
        <v>17.299261199999997</v>
      </c>
      <c r="T45" s="1027">
        <v>1389.9617173000006</v>
      </c>
      <c r="U45" s="1027">
        <f t="shared" si="2"/>
        <v>17389.573519500002</v>
      </c>
      <c r="V45" s="36"/>
      <c r="W45" s="36"/>
      <c r="X45" s="36"/>
    </row>
    <row r="46" spans="1:24" s="1037" customFormat="1" ht="11.25" customHeight="1">
      <c r="A46" s="699" t="s">
        <v>746</v>
      </c>
      <c r="B46" s="1079">
        <v>3935.4494488000005</v>
      </c>
      <c r="C46" s="1079">
        <v>1557.3722015000001</v>
      </c>
      <c r="D46" s="1079">
        <v>1303.3929069999999</v>
      </c>
      <c r="E46" s="1079">
        <v>1392.0948576000001</v>
      </c>
      <c r="F46" s="1079">
        <v>2416.4073445000004</v>
      </c>
      <c r="G46" s="1079">
        <v>12.4657617</v>
      </c>
      <c r="H46" s="1079">
        <v>960.03325310000002</v>
      </c>
      <c r="I46" s="1079">
        <v>903.38611830000013</v>
      </c>
      <c r="J46" s="1079">
        <v>430.36558249999996</v>
      </c>
      <c r="K46" s="1079">
        <v>52.322278700000005</v>
      </c>
      <c r="L46" s="1079">
        <v>399.49798210000006</v>
      </c>
      <c r="M46" s="1079">
        <v>0</v>
      </c>
      <c r="N46" s="1079">
        <v>61.141593100000001</v>
      </c>
      <c r="O46" s="1079">
        <v>1181.3641241</v>
      </c>
      <c r="P46" s="1079">
        <v>106.59498270000002</v>
      </c>
      <c r="Q46" s="1079">
        <v>525.17321230000005</v>
      </c>
      <c r="R46" s="1079">
        <v>114.5662861</v>
      </c>
      <c r="S46" s="1079">
        <v>12.720165</v>
      </c>
      <c r="T46" s="1079">
        <v>1272.8645110000002</v>
      </c>
      <c r="U46" s="1079">
        <f t="shared" si="2"/>
        <v>16637.212610100003</v>
      </c>
      <c r="V46" s="36"/>
      <c r="W46" s="36"/>
      <c r="X46" s="36"/>
    </row>
    <row r="47" spans="1:24" s="1037" customFormat="1" ht="11.25" customHeight="1">
      <c r="A47" s="696" t="s">
        <v>747</v>
      </c>
      <c r="B47" s="1027">
        <v>3390.1623846000002</v>
      </c>
      <c r="C47" s="1027">
        <v>1291.7690631</v>
      </c>
      <c r="D47" s="1027">
        <v>1366.9024833000001</v>
      </c>
      <c r="E47" s="1027">
        <v>1257.0007761000002</v>
      </c>
      <c r="F47" s="1027">
        <v>2197.7797419000003</v>
      </c>
      <c r="G47" s="1027">
        <v>12.550503600000001</v>
      </c>
      <c r="H47" s="1027">
        <v>938.31974550000018</v>
      </c>
      <c r="I47" s="1027">
        <v>751.24940130000005</v>
      </c>
      <c r="J47" s="1027">
        <v>368.54384220000003</v>
      </c>
      <c r="K47" s="1027">
        <v>47.149189200000002</v>
      </c>
      <c r="L47" s="1027">
        <v>343.442835</v>
      </c>
      <c r="M47" s="1027">
        <v>0</v>
      </c>
      <c r="N47" s="1027">
        <v>43.926762600000004</v>
      </c>
      <c r="O47" s="1027">
        <v>1218.7556604000001</v>
      </c>
      <c r="P47" s="1027">
        <v>94.722381900000002</v>
      </c>
      <c r="Q47" s="1027">
        <v>444.94927290000004</v>
      </c>
      <c r="R47" s="1027">
        <v>115.4137527</v>
      </c>
      <c r="S47" s="1027">
        <v>13.822514100000001</v>
      </c>
      <c r="T47" s="1027">
        <v>1203.0675309000003</v>
      </c>
      <c r="U47" s="1027">
        <f t="shared" si="2"/>
        <v>15099.5278413</v>
      </c>
      <c r="V47" s="36"/>
      <c r="W47" s="36"/>
      <c r="X47" s="36"/>
    </row>
    <row r="48" spans="1:24" s="1037" customFormat="1" ht="11.25" customHeight="1">
      <c r="A48" s="699" t="s">
        <v>739</v>
      </c>
      <c r="B48" s="1079">
        <v>3614.0447561999999</v>
      </c>
      <c r="C48" s="1079">
        <v>1442.2089062999999</v>
      </c>
      <c r="D48" s="1079">
        <v>1537.6099187999998</v>
      </c>
      <c r="E48" s="1079">
        <v>1352.1503504999998</v>
      </c>
      <c r="F48" s="1079">
        <v>2531.8156704000003</v>
      </c>
      <c r="G48" s="1079">
        <v>6.2752666000000001</v>
      </c>
      <c r="H48" s="1079">
        <v>1004.042656</v>
      </c>
      <c r="I48" s="1079">
        <v>901.26396520000003</v>
      </c>
      <c r="J48" s="1079">
        <v>362.35424569999998</v>
      </c>
      <c r="K48" s="1079">
        <v>45.283680599999997</v>
      </c>
      <c r="L48" s="1079">
        <v>378.9752221</v>
      </c>
      <c r="M48" s="1079">
        <v>0</v>
      </c>
      <c r="N48" s="1079">
        <v>46.725295899999999</v>
      </c>
      <c r="O48" s="1079">
        <v>1113.1814143000001</v>
      </c>
      <c r="P48" s="1079">
        <v>100.48906649999999</v>
      </c>
      <c r="Q48" s="1079">
        <v>479.37948770000003</v>
      </c>
      <c r="R48" s="1079">
        <v>111.3435817</v>
      </c>
      <c r="S48" s="1079">
        <v>14.8401575</v>
      </c>
      <c r="T48" s="1079">
        <v>1163.2987462000001</v>
      </c>
      <c r="U48" s="1079">
        <f t="shared" si="2"/>
        <v>16205.282388200001</v>
      </c>
      <c r="V48" s="36"/>
      <c r="W48" s="36"/>
      <c r="X48" s="36"/>
    </row>
    <row r="49" spans="1:25" s="1037" customFormat="1" ht="11.25" customHeight="1">
      <c r="A49" s="696" t="s">
        <v>748</v>
      </c>
      <c r="B49" s="1027">
        <v>3714.7078050000005</v>
      </c>
      <c r="C49" s="1027">
        <v>1543.2933990000001</v>
      </c>
      <c r="D49" s="1027">
        <v>1556.7767580000002</v>
      </c>
      <c r="E49" s="1027">
        <v>1376.5746330000002</v>
      </c>
      <c r="F49" s="1027">
        <v>2919.1048230000006</v>
      </c>
      <c r="G49" s="1027">
        <v>2.3744280000000004</v>
      </c>
      <c r="H49" s="1027">
        <v>1178.479497</v>
      </c>
      <c r="I49" s="1027">
        <v>949.60159799999997</v>
      </c>
      <c r="J49" s="1027">
        <v>393.22223700000001</v>
      </c>
      <c r="K49" s="1027">
        <v>49.608584999999998</v>
      </c>
      <c r="L49" s="1027">
        <v>384.31813199999999</v>
      </c>
      <c r="M49" s="1027">
        <v>0</v>
      </c>
      <c r="N49" s="1027">
        <v>51.983013000000007</v>
      </c>
      <c r="O49" s="1027">
        <v>1380.6450810000001</v>
      </c>
      <c r="P49" s="1027">
        <v>116.17737</v>
      </c>
      <c r="Q49" s="1027">
        <v>520.84774200000004</v>
      </c>
      <c r="R49" s="1027">
        <v>129.660729</v>
      </c>
      <c r="S49" s="1027">
        <v>18.486618</v>
      </c>
      <c r="T49" s="1027">
        <v>1247.9315159999978</v>
      </c>
      <c r="U49" s="1027">
        <f t="shared" si="2"/>
        <v>17533.793963999997</v>
      </c>
      <c r="V49" s="36"/>
      <c r="W49" s="36"/>
      <c r="X49" s="36"/>
    </row>
    <row r="50" spans="1:25" s="1037" customFormat="1" ht="11.25" customHeight="1">
      <c r="A50" s="699" t="s">
        <v>2695</v>
      </c>
      <c r="B50" s="1079">
        <v>4037.3422829999995</v>
      </c>
      <c r="C50" s="1079">
        <v>1685.9147643000001</v>
      </c>
      <c r="D50" s="1079">
        <v>1524.4549930999999</v>
      </c>
      <c r="E50" s="1079">
        <v>1346.1199621999999</v>
      </c>
      <c r="F50" s="1079">
        <v>2836.5700349999997</v>
      </c>
      <c r="G50" s="1079">
        <v>3.4768122999999997</v>
      </c>
      <c r="H50" s="1079">
        <v>1229.5195497</v>
      </c>
      <c r="I50" s="1079">
        <v>1138.1896265999999</v>
      </c>
      <c r="J50" s="1079">
        <v>453.42720409999993</v>
      </c>
      <c r="K50" s="1079">
        <v>51.643382699999997</v>
      </c>
      <c r="L50" s="1079">
        <v>424.00149999999996</v>
      </c>
      <c r="M50" s="1079">
        <v>0</v>
      </c>
      <c r="N50" s="1079">
        <v>50.4561785</v>
      </c>
      <c r="O50" s="1079">
        <v>1468.1475938999997</v>
      </c>
      <c r="P50" s="1079">
        <v>107.61158069999999</v>
      </c>
      <c r="Q50" s="1079">
        <v>604.28693780000003</v>
      </c>
      <c r="R50" s="1079">
        <v>98.029146800000007</v>
      </c>
      <c r="S50" s="1079">
        <v>22.4720795</v>
      </c>
      <c r="T50" s="1079">
        <v>1328.7359006999993</v>
      </c>
      <c r="U50" s="1079">
        <f t="shared" si="2"/>
        <v>18410.399530899998</v>
      </c>
      <c r="V50" s="36"/>
      <c r="W50" s="36"/>
      <c r="X50" s="36"/>
    </row>
    <row r="51" spans="1:25" s="1037" customFormat="1" ht="11.25" customHeight="1" thickBot="1">
      <c r="A51" s="1486" t="s">
        <v>740</v>
      </c>
      <c r="B51" s="1569">
        <v>3816.4115556000006</v>
      </c>
      <c r="C51" s="1569">
        <v>1526.9208444000001</v>
      </c>
      <c r="D51" s="1569">
        <v>1222.0964532000003</v>
      </c>
      <c r="E51" s="1569">
        <v>1308.5227344</v>
      </c>
      <c r="F51" s="1569">
        <v>2491.8588239999999</v>
      </c>
      <c r="G51" s="1569">
        <v>2.7988884000000001</v>
      </c>
      <c r="H51" s="1569">
        <v>1269.8471856000001</v>
      </c>
      <c r="I51" s="1569">
        <v>1005.3946392000001</v>
      </c>
      <c r="J51" s="1569">
        <v>369.45326880000005</v>
      </c>
      <c r="K51" s="1569">
        <v>48.514065600000002</v>
      </c>
      <c r="L51" s="1569">
        <v>395.57622720000006</v>
      </c>
      <c r="M51" s="1569">
        <v>0</v>
      </c>
      <c r="N51" s="1569">
        <v>46.563325200000001</v>
      </c>
      <c r="O51" s="1569">
        <v>894.20243640000012</v>
      </c>
      <c r="P51" s="1569">
        <v>89.903688000000002</v>
      </c>
      <c r="Q51" s="1569">
        <v>650.86877519999996</v>
      </c>
      <c r="R51" s="1569">
        <v>101.0992416</v>
      </c>
      <c r="S51" s="1569">
        <v>16.878145199999999</v>
      </c>
      <c r="T51" s="1569">
        <v>1204.0309007999995</v>
      </c>
      <c r="U51" s="1569">
        <f t="shared" si="2"/>
        <v>16460.941198800003</v>
      </c>
      <c r="V51" s="36"/>
      <c r="W51" s="36"/>
      <c r="X51" s="36"/>
    </row>
    <row r="52" spans="1:25" s="1037" customFormat="1" ht="12" customHeight="1">
      <c r="A52" s="696"/>
      <c r="B52" s="780"/>
      <c r="C52" s="780"/>
      <c r="D52" s="780"/>
      <c r="E52" s="780"/>
      <c r="F52" s="780"/>
      <c r="G52" s="780"/>
      <c r="H52" s="780"/>
      <c r="I52" s="780"/>
      <c r="J52" s="780"/>
      <c r="K52" s="780"/>
      <c r="L52" s="780"/>
      <c r="M52" s="780"/>
      <c r="N52" s="780"/>
      <c r="O52" s="780"/>
      <c r="P52" s="780"/>
      <c r="Q52" s="780"/>
      <c r="R52" s="780"/>
      <c r="S52" s="780"/>
      <c r="T52" s="780"/>
      <c r="U52" s="780"/>
      <c r="V52" s="36"/>
      <c r="W52" s="36"/>
      <c r="X52" s="36"/>
    </row>
    <row r="53" spans="1:25" s="9" customFormat="1" ht="11.1" customHeight="1">
      <c r="A53" s="67" t="s">
        <v>974</v>
      </c>
      <c r="B53" s="9" t="s">
        <v>1740</v>
      </c>
      <c r="C53" s="226"/>
      <c r="D53" s="226"/>
      <c r="E53" s="226"/>
      <c r="F53" s="226"/>
      <c r="G53" s="226"/>
      <c r="H53" s="226"/>
      <c r="I53" s="226"/>
      <c r="J53" s="226"/>
      <c r="K53" s="866"/>
      <c r="L53" s="202"/>
      <c r="M53" s="946"/>
      <c r="N53" s="123"/>
      <c r="O53" s="17"/>
      <c r="P53" s="226"/>
      <c r="Q53" s="226"/>
      <c r="R53" s="228"/>
      <c r="S53" s="228"/>
      <c r="T53" s="17"/>
    </row>
    <row r="54" spans="1:25" s="9" customFormat="1">
      <c r="C54" s="7"/>
      <c r="D54" s="7"/>
      <c r="E54" s="7" t="s">
        <v>2633</v>
      </c>
      <c r="F54" s="7"/>
      <c r="G54" s="7"/>
      <c r="H54" s="7"/>
      <c r="I54" s="7"/>
      <c r="J54" s="7"/>
      <c r="M54" s="1324"/>
      <c r="N54" s="1324"/>
      <c r="O54" s="1324"/>
      <c r="P54" s="1324"/>
      <c r="Q54" s="1324"/>
      <c r="R54" s="1324"/>
      <c r="S54" s="1324"/>
      <c r="T54" s="1324"/>
      <c r="U54" s="1324"/>
    </row>
    <row r="55" spans="1:25" s="9" customFormat="1">
      <c r="C55" s="7"/>
      <c r="D55" s="7"/>
      <c r="E55" s="7"/>
      <c r="F55" s="7"/>
      <c r="G55" s="7"/>
      <c r="H55" s="7"/>
      <c r="I55" s="7"/>
      <c r="J55" s="7"/>
      <c r="M55" s="1324"/>
      <c r="N55" s="1324"/>
      <c r="O55" s="1324"/>
      <c r="P55" s="1324"/>
      <c r="Q55" s="1324"/>
      <c r="R55" s="1324"/>
      <c r="S55" s="1324"/>
      <c r="T55" s="1324"/>
      <c r="U55" s="1324"/>
    </row>
    <row r="56" spans="1:25" s="9" customFormat="1" ht="11.25" customHeight="1">
      <c r="W56" s="206"/>
    </row>
    <row r="57" spans="1:25">
      <c r="B57" s="213"/>
      <c r="F57" s="213"/>
      <c r="U57" s="105"/>
    </row>
    <row r="58" spans="1:25" s="211" customFormat="1">
      <c r="B58" s="8"/>
      <c r="C58" s="8"/>
      <c r="D58" s="8"/>
      <c r="E58" s="8"/>
      <c r="F58" s="225"/>
      <c r="G58" s="8"/>
      <c r="H58" s="8"/>
      <c r="I58" s="8"/>
      <c r="J58" s="8"/>
      <c r="K58" s="8"/>
      <c r="L58" s="8"/>
      <c r="M58" s="8"/>
      <c r="N58" s="8"/>
      <c r="O58" s="213"/>
      <c r="P58" s="213"/>
      <c r="Q58" s="8"/>
      <c r="R58" s="8"/>
      <c r="S58" s="8"/>
      <c r="T58" s="8"/>
      <c r="U58" s="105"/>
      <c r="W58" s="313"/>
      <c r="X58" s="313"/>
    </row>
    <row r="59" spans="1:25">
      <c r="U59" s="105"/>
    </row>
    <row r="60" spans="1:25" s="211" customFormat="1"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206"/>
      <c r="U60" s="1027"/>
      <c r="V60" s="313"/>
      <c r="X60" s="313"/>
    </row>
    <row r="61" spans="1:25" s="211" customFormat="1"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</row>
    <row r="62" spans="1:25" s="9" customFormat="1"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313"/>
      <c r="V62" s="206"/>
      <c r="W62" s="206"/>
    </row>
    <row r="63" spans="1:25" s="211" customFormat="1">
      <c r="A63" s="8"/>
      <c r="B63" s="1133"/>
      <c r="C63" s="1133"/>
      <c r="D63" s="1133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</row>
    <row r="64" spans="1:25" s="9" customFormat="1">
      <c r="A64" s="8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</row>
    <row r="65" spans="1:22" s="9" customFormat="1">
      <c r="A65" s="8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</row>
    <row r="66" spans="1:22" s="9" customFormat="1">
      <c r="A66" s="211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</row>
    <row r="67" spans="1:22" s="9" customFormat="1">
      <c r="A67" s="211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</row>
    <row r="68" spans="1:22" s="9" customFormat="1">
      <c r="A68" s="8"/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</row>
    <row r="69" spans="1:22" s="9" customFormat="1"/>
    <row r="70" spans="1:22" s="9" customFormat="1"/>
    <row r="71" spans="1:22" s="9" customFormat="1"/>
    <row r="72" spans="1:22" s="9" customFormat="1"/>
    <row r="73" spans="1:22" s="9" customFormat="1"/>
    <row r="74" spans="1:22" s="9" customFormat="1"/>
    <row r="75" spans="1:22" s="9" customFormat="1"/>
    <row r="76" spans="1:22" s="9" customFormat="1"/>
    <row r="77" spans="1:22" s="9" customFormat="1"/>
    <row r="78" spans="1:22" s="9" customFormat="1"/>
    <row r="79" spans="1:22" s="9" customFormat="1"/>
    <row r="80" spans="1:22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pans="1:21" s="9" customFormat="1"/>
    <row r="354" spans="1:21" s="9" customFormat="1"/>
    <row r="355" spans="1:21" s="9" customFormat="1"/>
    <row r="356" spans="1:21" s="9" customFormat="1"/>
    <row r="357" spans="1:21" s="9" customFormat="1"/>
    <row r="358" spans="1:21" s="9" customFormat="1"/>
    <row r="359" spans="1:21" s="9" customFormat="1"/>
    <row r="360" spans="1:21" s="9" customFormat="1"/>
    <row r="361" spans="1:21" s="9" customFormat="1"/>
    <row r="362" spans="1:21" s="9" customFormat="1"/>
    <row r="363" spans="1:21" s="9" customFormat="1"/>
    <row r="364" spans="1:2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</sheetData>
  <mergeCells count="3">
    <mergeCell ref="T1:U1"/>
    <mergeCell ref="T2:U2"/>
    <mergeCell ref="A1:J1"/>
  </mergeCells>
  <phoneticPr fontId="43" type="noConversion"/>
  <pageMargins left="0.55118110236220497" right="0.511811023622047" top="0.511811023622047" bottom="0.27559055118110198" header="0" footer="0.143700787"/>
  <pageSetup paperSize="448" firstPageNumber="84" orientation="portrait" useFirstPageNumber="1" r:id="rId1"/>
  <headerFooter>
    <oddFooter>&amp;C&amp;"Times New Roman,Regular"&amp;8&amp;P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BY83"/>
  <sheetViews>
    <sheetView zoomScale="160" zoomScaleNormal="160" workbookViewId="0">
      <pane xSplit="1" ySplit="6" topLeftCell="X46" activePane="bottomRight" state="frozen"/>
      <selection activeCell="L47" sqref="L47"/>
      <selection pane="topRight" activeCell="L47" sqref="L47"/>
      <selection pane="bottomLeft" activeCell="L47" sqref="L47"/>
      <selection pane="bottomRight" activeCell="BV42" sqref="BV42"/>
    </sheetView>
  </sheetViews>
  <sheetFormatPr defaultColWidth="9.140625" defaultRowHeight="11.25"/>
  <cols>
    <col min="1" max="1" width="9.28515625" style="55" customWidth="1"/>
    <col min="2" max="2" width="9.85546875" style="9" customWidth="1"/>
    <col min="3" max="3" width="9.7109375" style="9" customWidth="1"/>
    <col min="4" max="4" width="10.140625" style="9" customWidth="1"/>
    <col min="5" max="5" width="11" style="9" customWidth="1"/>
    <col min="6" max="6" width="11.28515625" style="9" customWidth="1"/>
    <col min="7" max="7" width="11.85546875" style="9" customWidth="1"/>
    <col min="8" max="8" width="9.85546875" style="9" customWidth="1"/>
    <col min="9" max="9" width="9.5703125" style="9" customWidth="1"/>
    <col min="10" max="10" width="9.28515625" style="9" customWidth="1"/>
    <col min="11" max="11" width="9.7109375" style="9" customWidth="1"/>
    <col min="12" max="12" width="9.42578125" style="9" customWidth="1"/>
    <col min="13" max="13" width="8" style="9" customWidth="1"/>
    <col min="14" max="14" width="8.7109375" style="9" customWidth="1"/>
    <col min="15" max="15" width="7.5703125" style="9" customWidth="1"/>
    <col min="16" max="16" width="11.42578125" style="55" customWidth="1"/>
    <col min="17" max="17" width="10.7109375" style="9" customWidth="1"/>
    <col min="18" max="18" width="10.5703125" style="9" customWidth="1"/>
    <col min="19" max="19" width="10.7109375" style="9" customWidth="1"/>
    <col min="20" max="20" width="10.85546875" style="9" customWidth="1"/>
    <col min="21" max="21" width="10.5703125" style="9" customWidth="1"/>
    <col min="22" max="22" width="10.7109375" style="9" customWidth="1"/>
    <col min="23" max="23" width="9.85546875" style="9" customWidth="1"/>
    <col min="24" max="24" width="9.140625" style="9" customWidth="1"/>
    <col min="25" max="25" width="9.42578125" style="9" customWidth="1"/>
    <col min="26" max="26" width="9" style="9" customWidth="1"/>
    <col min="27" max="27" width="9.42578125" style="9" customWidth="1"/>
    <col min="28" max="29" width="9.7109375" style="9" customWidth="1"/>
    <col min="30" max="30" width="9.42578125" style="9" customWidth="1"/>
    <col min="31" max="31" width="10.42578125" style="55" customWidth="1"/>
    <col min="32" max="32" width="10.7109375" style="9" customWidth="1"/>
    <col min="33" max="34" width="10.85546875" style="9" customWidth="1"/>
    <col min="35" max="35" width="11.140625" style="9" customWidth="1"/>
    <col min="36" max="36" width="11.42578125" style="9" customWidth="1"/>
    <col min="37" max="37" width="9" style="9" customWidth="1"/>
    <col min="38" max="38" width="9.7109375" style="9" customWidth="1"/>
    <col min="39" max="39" width="9.5703125" style="9" customWidth="1"/>
    <col min="40" max="40" width="9.28515625" style="9" customWidth="1"/>
    <col min="41" max="41" width="9.42578125" style="9" customWidth="1"/>
    <col min="42" max="42" width="9.140625" style="9" customWidth="1"/>
    <col min="43" max="43" width="9.28515625" style="9" customWidth="1"/>
    <col min="44" max="44" width="10" style="9" customWidth="1"/>
    <col min="45" max="45" width="9.140625" style="9" customWidth="1"/>
    <col min="46" max="46" width="10.7109375" style="55" customWidth="1"/>
    <col min="47" max="47" width="10.85546875" style="9" customWidth="1"/>
    <col min="48" max="48" width="10.5703125" style="9" customWidth="1"/>
    <col min="49" max="49" width="10.28515625" style="9" customWidth="1"/>
    <col min="50" max="50" width="10.5703125" style="9" customWidth="1"/>
    <col min="51" max="51" width="11" style="9" customWidth="1"/>
    <col min="52" max="52" width="11.42578125" style="9" customWidth="1"/>
    <col min="53" max="53" width="9.85546875" style="9" customWidth="1"/>
    <col min="54" max="54" width="9.28515625" style="9" customWidth="1"/>
    <col min="55" max="55" width="9.85546875" style="9" customWidth="1"/>
    <col min="56" max="56" width="9.140625" style="9" customWidth="1"/>
    <col min="57" max="57" width="9.7109375" style="9" customWidth="1"/>
    <col min="58" max="58" width="8.7109375" style="9" customWidth="1"/>
    <col min="59" max="59" width="9" style="9" customWidth="1"/>
    <col min="60" max="60" width="9.28515625" style="9" customWidth="1"/>
    <col min="61" max="61" width="10" style="55" customWidth="1"/>
    <col min="62" max="62" width="10.28515625" style="9" customWidth="1"/>
    <col min="63" max="63" width="10.42578125" style="9" customWidth="1"/>
    <col min="64" max="64" width="10.140625" style="9" customWidth="1"/>
    <col min="65" max="65" width="11" style="9" customWidth="1"/>
    <col min="66" max="66" width="10.7109375" style="9" customWidth="1"/>
    <col min="67" max="67" width="11.42578125" style="9" customWidth="1"/>
    <col min="68" max="68" width="10" style="9" customWidth="1"/>
    <col min="69" max="69" width="9.42578125" style="9" customWidth="1"/>
    <col min="70" max="70" width="9" style="9" customWidth="1"/>
    <col min="71" max="71" width="9.7109375" style="9" customWidth="1"/>
    <col min="72" max="72" width="9.28515625" style="9" customWidth="1"/>
    <col min="73" max="73" width="9.42578125" style="9" customWidth="1"/>
    <col min="74" max="74" width="9.5703125" style="9" customWidth="1"/>
    <col min="75" max="75" width="9.140625" style="9" customWidth="1"/>
    <col min="76" max="16384" width="9.140625" style="9"/>
  </cols>
  <sheetData>
    <row r="1" spans="1:75" s="155" customFormat="1" ht="14.25" customHeight="1">
      <c r="C1" s="64"/>
      <c r="D1" s="64"/>
      <c r="F1" s="2040" t="s">
        <v>479</v>
      </c>
      <c r="G1" s="2040"/>
      <c r="H1" s="167" t="s">
        <v>477</v>
      </c>
      <c r="M1" s="2040" t="s">
        <v>1458</v>
      </c>
      <c r="N1" s="2040"/>
      <c r="O1" s="2040"/>
      <c r="U1" s="2040" t="s">
        <v>479</v>
      </c>
      <c r="V1" s="2040"/>
      <c r="W1" s="167" t="s">
        <v>477</v>
      </c>
      <c r="AB1" s="2040" t="s">
        <v>1458</v>
      </c>
      <c r="AC1" s="2040"/>
      <c r="AD1" s="2040"/>
      <c r="AJ1" s="2040" t="s">
        <v>479</v>
      </c>
      <c r="AK1" s="2040"/>
      <c r="AL1" s="167" t="s">
        <v>477</v>
      </c>
      <c r="AQ1" s="2040" t="s">
        <v>1458</v>
      </c>
      <c r="AR1" s="2040"/>
      <c r="AS1" s="2040"/>
      <c r="AY1" s="2040" t="s">
        <v>479</v>
      </c>
      <c r="AZ1" s="2040"/>
      <c r="BA1" s="167" t="s">
        <v>477</v>
      </c>
      <c r="BF1" s="2040" t="s">
        <v>1458</v>
      </c>
      <c r="BG1" s="2040"/>
      <c r="BH1" s="2040"/>
      <c r="BN1" s="2040" t="s">
        <v>479</v>
      </c>
      <c r="BO1" s="2040"/>
      <c r="BP1" s="167" t="s">
        <v>477</v>
      </c>
      <c r="BU1" s="2040" t="s">
        <v>1459</v>
      </c>
      <c r="BV1" s="2040"/>
      <c r="BW1" s="2040"/>
    </row>
    <row r="2" spans="1:75" s="76" customFormat="1" ht="12.75" customHeight="1">
      <c r="G2" s="1414" t="s">
        <v>476</v>
      </c>
      <c r="H2" s="1415" t="s">
        <v>478</v>
      </c>
      <c r="I2" s="93"/>
      <c r="J2" s="93"/>
      <c r="K2" s="93"/>
      <c r="L2" s="93"/>
      <c r="M2" s="93"/>
      <c r="P2" s="93"/>
      <c r="Q2" s="93"/>
      <c r="R2" s="93"/>
      <c r="S2" s="93"/>
      <c r="T2" s="93"/>
      <c r="V2" s="1414" t="s">
        <v>476</v>
      </c>
      <c r="W2" s="1415" t="s">
        <v>478</v>
      </c>
      <c r="AC2" s="2245"/>
      <c r="AD2" s="2245"/>
      <c r="AK2" s="1414" t="s">
        <v>476</v>
      </c>
      <c r="AL2" s="1415" t="s">
        <v>478</v>
      </c>
      <c r="AZ2" s="1414" t="s">
        <v>476</v>
      </c>
      <c r="BA2" s="1415" t="s">
        <v>478</v>
      </c>
      <c r="BO2" s="1414" t="s">
        <v>476</v>
      </c>
      <c r="BP2" s="1415" t="s">
        <v>478</v>
      </c>
    </row>
    <row r="3" spans="1:75" s="100" customFormat="1" ht="11.25" customHeight="1">
      <c r="A3" s="2060" t="s">
        <v>663</v>
      </c>
      <c r="B3" s="2060" t="s">
        <v>817</v>
      </c>
      <c r="C3" s="2060"/>
      <c r="D3" s="2060" t="s">
        <v>697</v>
      </c>
      <c r="E3" s="2060"/>
      <c r="F3" s="2060" t="s">
        <v>698</v>
      </c>
      <c r="G3" s="2060"/>
      <c r="H3" s="2060" t="s">
        <v>699</v>
      </c>
      <c r="I3" s="2060"/>
      <c r="J3" s="2060" t="s">
        <v>58</v>
      </c>
      <c r="K3" s="2060"/>
      <c r="L3" s="2060" t="s">
        <v>700</v>
      </c>
      <c r="M3" s="2060"/>
      <c r="N3" s="2060" t="s">
        <v>1788</v>
      </c>
      <c r="O3" s="2060"/>
      <c r="P3" s="2060" t="s">
        <v>663</v>
      </c>
      <c r="Q3" s="1871" t="s">
        <v>60</v>
      </c>
      <c r="R3" s="1871"/>
      <c r="S3" s="2060" t="s">
        <v>701</v>
      </c>
      <c r="T3" s="2060"/>
      <c r="U3" s="2060" t="s">
        <v>702</v>
      </c>
      <c r="V3" s="2060"/>
      <c r="W3" s="2060" t="s">
        <v>278</v>
      </c>
      <c r="X3" s="2060"/>
      <c r="Y3" s="2060" t="s">
        <v>61</v>
      </c>
      <c r="Z3" s="2060"/>
      <c r="AA3" s="2060" t="s">
        <v>703</v>
      </c>
      <c r="AB3" s="2060"/>
      <c r="AC3" s="2060" t="s">
        <v>818</v>
      </c>
      <c r="AD3" s="2060"/>
      <c r="AE3" s="2060" t="s">
        <v>663</v>
      </c>
      <c r="AF3" s="2060" t="s">
        <v>279</v>
      </c>
      <c r="AG3" s="2060"/>
      <c r="AH3" s="2060" t="s">
        <v>704</v>
      </c>
      <c r="AI3" s="2060"/>
      <c r="AJ3" s="2060" t="s">
        <v>705</v>
      </c>
      <c r="AK3" s="2060"/>
      <c r="AL3" s="2060" t="s">
        <v>706</v>
      </c>
      <c r="AM3" s="2060"/>
      <c r="AN3" s="2060" t="s">
        <v>707</v>
      </c>
      <c r="AO3" s="2060"/>
      <c r="AP3" s="2060" t="s">
        <v>708</v>
      </c>
      <c r="AQ3" s="2060"/>
      <c r="AR3" s="2060" t="s">
        <v>709</v>
      </c>
      <c r="AS3" s="2060"/>
      <c r="AT3" s="2060" t="s">
        <v>663</v>
      </c>
      <c r="AU3" s="2060" t="s">
        <v>710</v>
      </c>
      <c r="AV3" s="2060"/>
      <c r="AW3" s="2060" t="s">
        <v>711</v>
      </c>
      <c r="AX3" s="2060"/>
      <c r="AY3" s="2060" t="s">
        <v>712</v>
      </c>
      <c r="AZ3" s="2060"/>
      <c r="BA3" s="2060" t="s">
        <v>280</v>
      </c>
      <c r="BB3" s="2060"/>
      <c r="BC3" s="2060" t="s">
        <v>713</v>
      </c>
      <c r="BD3" s="2060"/>
      <c r="BE3" s="2060" t="s">
        <v>714</v>
      </c>
      <c r="BF3" s="2060"/>
      <c r="BG3" s="2060" t="s">
        <v>549</v>
      </c>
      <c r="BH3" s="2060"/>
      <c r="BI3" s="2060" t="s">
        <v>663</v>
      </c>
      <c r="BJ3" s="2060" t="s">
        <v>880</v>
      </c>
      <c r="BK3" s="2060"/>
      <c r="BL3" s="2060" t="s">
        <v>819</v>
      </c>
      <c r="BM3" s="2060"/>
      <c r="BN3" s="2060" t="s">
        <v>715</v>
      </c>
      <c r="BO3" s="2060"/>
      <c r="BP3" s="2060" t="s">
        <v>2060</v>
      </c>
      <c r="BQ3" s="2060"/>
      <c r="BR3" s="2060" t="s">
        <v>716</v>
      </c>
      <c r="BS3" s="2060"/>
      <c r="BT3" s="2060" t="s">
        <v>717</v>
      </c>
      <c r="BU3" s="2060"/>
      <c r="BV3" s="2060" t="s">
        <v>1509</v>
      </c>
      <c r="BW3" s="2060"/>
    </row>
    <row r="4" spans="1:75" s="1462" customFormat="1" ht="20.25" customHeight="1">
      <c r="A4" s="2060"/>
      <c r="B4" s="2036" t="s">
        <v>1358</v>
      </c>
      <c r="C4" s="2036" t="s">
        <v>1359</v>
      </c>
      <c r="D4" s="2036" t="s">
        <v>1358</v>
      </c>
      <c r="E4" s="2036" t="s">
        <v>1359</v>
      </c>
      <c r="F4" s="2036" t="s">
        <v>1358</v>
      </c>
      <c r="G4" s="2036" t="s">
        <v>1360</v>
      </c>
      <c r="H4" s="2036" t="s">
        <v>1358</v>
      </c>
      <c r="I4" s="2036" t="s">
        <v>1359</v>
      </c>
      <c r="J4" s="2036" t="s">
        <v>1358</v>
      </c>
      <c r="K4" s="2036" t="s">
        <v>1359</v>
      </c>
      <c r="L4" s="2036" t="s">
        <v>1358</v>
      </c>
      <c r="M4" s="2036" t="s">
        <v>1359</v>
      </c>
      <c r="N4" s="2036" t="s">
        <v>1358</v>
      </c>
      <c r="O4" s="2036" t="s">
        <v>1359</v>
      </c>
      <c r="P4" s="2060"/>
      <c r="Q4" s="2036" t="s">
        <v>1358</v>
      </c>
      <c r="R4" s="2036" t="s">
        <v>1359</v>
      </c>
      <c r="S4" s="2036" t="s">
        <v>1358</v>
      </c>
      <c r="T4" s="2036" t="s">
        <v>1359</v>
      </c>
      <c r="U4" s="2036" t="s">
        <v>1358</v>
      </c>
      <c r="V4" s="2036" t="s">
        <v>1360</v>
      </c>
      <c r="W4" s="2036" t="s">
        <v>1358</v>
      </c>
      <c r="X4" s="2036" t="s">
        <v>1359</v>
      </c>
      <c r="Y4" s="2036" t="s">
        <v>1358</v>
      </c>
      <c r="Z4" s="2036" t="s">
        <v>1359</v>
      </c>
      <c r="AA4" s="2036" t="s">
        <v>1358</v>
      </c>
      <c r="AB4" s="2036" t="s">
        <v>1359</v>
      </c>
      <c r="AC4" s="2036" t="s">
        <v>1358</v>
      </c>
      <c r="AD4" s="2036" t="s">
        <v>1359</v>
      </c>
      <c r="AE4" s="2060"/>
      <c r="AF4" s="2036" t="s">
        <v>1358</v>
      </c>
      <c r="AG4" s="2036" t="s">
        <v>1359</v>
      </c>
      <c r="AH4" s="2036" t="s">
        <v>1358</v>
      </c>
      <c r="AI4" s="2036" t="s">
        <v>1359</v>
      </c>
      <c r="AJ4" s="2036" t="s">
        <v>1358</v>
      </c>
      <c r="AK4" s="2036" t="s">
        <v>1360</v>
      </c>
      <c r="AL4" s="2036" t="s">
        <v>1358</v>
      </c>
      <c r="AM4" s="2036" t="s">
        <v>1359</v>
      </c>
      <c r="AN4" s="2036" t="s">
        <v>1358</v>
      </c>
      <c r="AO4" s="2036" t="s">
        <v>1359</v>
      </c>
      <c r="AP4" s="2036" t="s">
        <v>1358</v>
      </c>
      <c r="AQ4" s="2036" t="s">
        <v>1359</v>
      </c>
      <c r="AR4" s="2036" t="s">
        <v>1358</v>
      </c>
      <c r="AS4" s="2036" t="s">
        <v>1359</v>
      </c>
      <c r="AT4" s="2060"/>
      <c r="AU4" s="2036" t="s">
        <v>1358</v>
      </c>
      <c r="AV4" s="2036" t="s">
        <v>1359</v>
      </c>
      <c r="AW4" s="2036" t="s">
        <v>1358</v>
      </c>
      <c r="AX4" s="2036" t="s">
        <v>1359</v>
      </c>
      <c r="AY4" s="2036" t="s">
        <v>1358</v>
      </c>
      <c r="AZ4" s="2036" t="s">
        <v>1360</v>
      </c>
      <c r="BA4" s="2036" t="s">
        <v>1358</v>
      </c>
      <c r="BB4" s="2036" t="s">
        <v>1359</v>
      </c>
      <c r="BC4" s="2036" t="s">
        <v>1358</v>
      </c>
      <c r="BD4" s="2036" t="s">
        <v>1359</v>
      </c>
      <c r="BE4" s="2036" t="s">
        <v>1358</v>
      </c>
      <c r="BF4" s="2036" t="s">
        <v>1359</v>
      </c>
      <c r="BG4" s="2036" t="s">
        <v>1358</v>
      </c>
      <c r="BH4" s="2036" t="s">
        <v>1359</v>
      </c>
      <c r="BI4" s="2060"/>
      <c r="BJ4" s="2036" t="s">
        <v>1358</v>
      </c>
      <c r="BK4" s="2036" t="s">
        <v>1359</v>
      </c>
      <c r="BL4" s="2036" t="s">
        <v>1358</v>
      </c>
      <c r="BM4" s="2036" t="s">
        <v>1359</v>
      </c>
      <c r="BN4" s="2036" t="s">
        <v>1358</v>
      </c>
      <c r="BO4" s="2036" t="s">
        <v>1360</v>
      </c>
      <c r="BP4" s="2036" t="s">
        <v>1358</v>
      </c>
      <c r="BQ4" s="2036" t="s">
        <v>1359</v>
      </c>
      <c r="BR4" s="2036" t="s">
        <v>1358</v>
      </c>
      <c r="BS4" s="2036" t="s">
        <v>1359</v>
      </c>
      <c r="BT4" s="2036" t="s">
        <v>1358</v>
      </c>
      <c r="BU4" s="2036" t="s">
        <v>1359</v>
      </c>
      <c r="BV4" s="2036" t="s">
        <v>1358</v>
      </c>
      <c r="BW4" s="2036" t="s">
        <v>1359</v>
      </c>
    </row>
    <row r="5" spans="1:75" s="1462" customFormat="1" ht="15.75" customHeight="1">
      <c r="A5" s="2060"/>
      <c r="B5" s="1875"/>
      <c r="C5" s="1875"/>
      <c r="D5" s="1875"/>
      <c r="E5" s="1875"/>
      <c r="F5" s="1875"/>
      <c r="G5" s="1875"/>
      <c r="H5" s="1875"/>
      <c r="I5" s="1875"/>
      <c r="J5" s="1875"/>
      <c r="K5" s="1875"/>
      <c r="L5" s="1875"/>
      <c r="M5" s="1875"/>
      <c r="N5" s="1875"/>
      <c r="O5" s="1875"/>
      <c r="P5" s="2060"/>
      <c r="Q5" s="1875"/>
      <c r="R5" s="1875"/>
      <c r="S5" s="1875"/>
      <c r="T5" s="1875"/>
      <c r="U5" s="1875"/>
      <c r="V5" s="1875"/>
      <c r="W5" s="1875"/>
      <c r="X5" s="1875"/>
      <c r="Y5" s="1875"/>
      <c r="Z5" s="1875"/>
      <c r="AA5" s="1875"/>
      <c r="AB5" s="1875"/>
      <c r="AC5" s="1875"/>
      <c r="AD5" s="1875"/>
      <c r="AE5" s="2060"/>
      <c r="AF5" s="1875"/>
      <c r="AG5" s="1875"/>
      <c r="AH5" s="1875"/>
      <c r="AI5" s="1875"/>
      <c r="AJ5" s="1875"/>
      <c r="AK5" s="1875"/>
      <c r="AL5" s="1875"/>
      <c r="AM5" s="1875"/>
      <c r="AN5" s="1875"/>
      <c r="AO5" s="1875"/>
      <c r="AP5" s="1875"/>
      <c r="AQ5" s="1875"/>
      <c r="AR5" s="1875"/>
      <c r="AS5" s="1875"/>
      <c r="AT5" s="2060"/>
      <c r="AU5" s="1875"/>
      <c r="AV5" s="1875"/>
      <c r="AW5" s="1875"/>
      <c r="AX5" s="1875"/>
      <c r="AY5" s="1875"/>
      <c r="AZ5" s="1875"/>
      <c r="BA5" s="1875"/>
      <c r="BB5" s="1875"/>
      <c r="BC5" s="1875"/>
      <c r="BD5" s="1875"/>
      <c r="BE5" s="1875"/>
      <c r="BF5" s="1875"/>
      <c r="BG5" s="1875"/>
      <c r="BH5" s="1875"/>
      <c r="BI5" s="2060"/>
      <c r="BJ5" s="1875"/>
      <c r="BK5" s="1875"/>
      <c r="BL5" s="1875"/>
      <c r="BM5" s="1875"/>
      <c r="BN5" s="1875"/>
      <c r="BO5" s="1875"/>
      <c r="BP5" s="1875"/>
      <c r="BQ5" s="1875"/>
      <c r="BR5" s="1875"/>
      <c r="BS5" s="1875"/>
      <c r="BT5" s="1875"/>
      <c r="BU5" s="1875"/>
      <c r="BV5" s="1875"/>
      <c r="BW5" s="1875"/>
    </row>
    <row r="6" spans="1:75" s="168" customFormat="1" ht="12">
      <c r="A6" s="2060"/>
      <c r="B6" s="1457">
        <v>1</v>
      </c>
      <c r="C6" s="1457">
        <v>2</v>
      </c>
      <c r="D6" s="1457">
        <v>3</v>
      </c>
      <c r="E6" s="1457">
        <v>4</v>
      </c>
      <c r="F6" s="1457">
        <v>5</v>
      </c>
      <c r="G6" s="1457">
        <v>6</v>
      </c>
      <c r="H6" s="1457">
        <v>7</v>
      </c>
      <c r="I6" s="1457">
        <v>8</v>
      </c>
      <c r="J6" s="1457">
        <v>9</v>
      </c>
      <c r="K6" s="1457">
        <v>10</v>
      </c>
      <c r="L6" s="1457">
        <v>11</v>
      </c>
      <c r="M6" s="1457">
        <v>12</v>
      </c>
      <c r="N6" s="1457">
        <v>13</v>
      </c>
      <c r="O6" s="1457">
        <v>14</v>
      </c>
      <c r="P6" s="2060"/>
      <c r="Q6" s="1457">
        <v>15</v>
      </c>
      <c r="R6" s="1457">
        <v>16</v>
      </c>
      <c r="S6" s="1457">
        <v>17</v>
      </c>
      <c r="T6" s="1457">
        <v>18</v>
      </c>
      <c r="U6" s="1457">
        <v>19</v>
      </c>
      <c r="V6" s="1457">
        <v>20</v>
      </c>
      <c r="W6" s="1457">
        <v>21</v>
      </c>
      <c r="X6" s="1457">
        <v>22</v>
      </c>
      <c r="Y6" s="1457">
        <v>23</v>
      </c>
      <c r="Z6" s="1457">
        <v>24</v>
      </c>
      <c r="AA6" s="1457">
        <v>25</v>
      </c>
      <c r="AB6" s="1457">
        <v>26</v>
      </c>
      <c r="AC6" s="1457">
        <v>27</v>
      </c>
      <c r="AD6" s="1457">
        <v>28</v>
      </c>
      <c r="AE6" s="2060"/>
      <c r="AF6" s="1457">
        <v>29</v>
      </c>
      <c r="AG6" s="1457">
        <v>30</v>
      </c>
      <c r="AH6" s="1457">
        <v>31</v>
      </c>
      <c r="AI6" s="1457">
        <v>32</v>
      </c>
      <c r="AJ6" s="1457">
        <v>33</v>
      </c>
      <c r="AK6" s="1457">
        <v>34</v>
      </c>
      <c r="AL6" s="1457">
        <v>35</v>
      </c>
      <c r="AM6" s="1457">
        <v>36</v>
      </c>
      <c r="AN6" s="1457">
        <v>37</v>
      </c>
      <c r="AO6" s="1457">
        <v>38</v>
      </c>
      <c r="AP6" s="1457">
        <v>39</v>
      </c>
      <c r="AQ6" s="1457">
        <v>40</v>
      </c>
      <c r="AR6" s="1457">
        <v>41</v>
      </c>
      <c r="AS6" s="1457">
        <v>42</v>
      </c>
      <c r="AT6" s="2060"/>
      <c r="AU6" s="1457">
        <v>43</v>
      </c>
      <c r="AV6" s="1457">
        <v>44</v>
      </c>
      <c r="AW6" s="1457">
        <v>45</v>
      </c>
      <c r="AX6" s="1457">
        <v>46</v>
      </c>
      <c r="AY6" s="1457">
        <v>47</v>
      </c>
      <c r="AZ6" s="1457">
        <v>48</v>
      </c>
      <c r="BA6" s="1457">
        <v>49</v>
      </c>
      <c r="BB6" s="1457">
        <v>50</v>
      </c>
      <c r="BC6" s="1457">
        <v>51</v>
      </c>
      <c r="BD6" s="1457">
        <v>52</v>
      </c>
      <c r="BE6" s="1457">
        <v>53</v>
      </c>
      <c r="BF6" s="1457">
        <v>54</v>
      </c>
      <c r="BG6" s="1457">
        <v>55</v>
      </c>
      <c r="BH6" s="1457">
        <v>56</v>
      </c>
      <c r="BI6" s="2060"/>
      <c r="BJ6" s="1457">
        <v>57</v>
      </c>
      <c r="BK6" s="1457">
        <v>58</v>
      </c>
      <c r="BL6" s="1457">
        <v>59</v>
      </c>
      <c r="BM6" s="1457">
        <v>60</v>
      </c>
      <c r="BN6" s="1457">
        <v>61</v>
      </c>
      <c r="BO6" s="1457">
        <v>62</v>
      </c>
      <c r="BP6" s="1457">
        <v>63</v>
      </c>
      <c r="BQ6" s="1457">
        <v>64</v>
      </c>
      <c r="BR6" s="1457">
        <v>65</v>
      </c>
      <c r="BS6" s="1457">
        <v>66</v>
      </c>
      <c r="BT6" s="1457">
        <v>67</v>
      </c>
      <c r="BU6" s="1457">
        <v>68</v>
      </c>
      <c r="BV6" s="1457">
        <v>69</v>
      </c>
      <c r="BW6" s="1457">
        <v>70</v>
      </c>
    </row>
    <row r="7" spans="1:75" ht="10.7" customHeight="1">
      <c r="A7" s="312" t="s">
        <v>83</v>
      </c>
      <c r="B7" s="17">
        <v>61.05</v>
      </c>
      <c r="C7" s="17">
        <v>58.93</v>
      </c>
      <c r="D7" s="17">
        <v>69.180000000000007</v>
      </c>
      <c r="E7" s="17">
        <v>69.45</v>
      </c>
      <c r="F7" s="17">
        <v>183.54</v>
      </c>
      <c r="G7" s="17">
        <v>184.2</v>
      </c>
      <c r="H7" s="17">
        <v>65.569999999999993</v>
      </c>
      <c r="I7" s="17">
        <v>65.67</v>
      </c>
      <c r="J7" s="17">
        <v>10.130000000000001</v>
      </c>
      <c r="K7" s="17">
        <v>10.23</v>
      </c>
      <c r="L7" s="17">
        <v>12.93</v>
      </c>
      <c r="M7" s="17">
        <v>11.37</v>
      </c>
      <c r="N7" s="17">
        <v>96.24</v>
      </c>
      <c r="O7" s="17">
        <v>84.66</v>
      </c>
      <c r="P7" s="312" t="s">
        <v>83</v>
      </c>
      <c r="Q7" s="17">
        <v>8.92</v>
      </c>
      <c r="R7" s="17">
        <v>8.92</v>
      </c>
      <c r="S7" s="17">
        <v>1.49</v>
      </c>
      <c r="T7" s="17">
        <v>1.5</v>
      </c>
      <c r="U7" s="17">
        <v>0.01</v>
      </c>
      <c r="V7" s="17">
        <v>0.01</v>
      </c>
      <c r="W7" s="17">
        <v>0.01</v>
      </c>
      <c r="X7" s="17">
        <v>0.01</v>
      </c>
      <c r="Y7" s="17">
        <v>0.76</v>
      </c>
      <c r="Z7" s="17">
        <v>0.78</v>
      </c>
      <c r="AA7" s="17">
        <v>253.28</v>
      </c>
      <c r="AB7" s="17">
        <v>238.89</v>
      </c>
      <c r="AC7" s="17">
        <v>20.47</v>
      </c>
      <c r="AD7" s="17">
        <v>21.33</v>
      </c>
      <c r="AE7" s="312" t="s">
        <v>83</v>
      </c>
      <c r="AF7" s="17">
        <v>10.78</v>
      </c>
      <c r="AG7" s="17">
        <v>10.82</v>
      </c>
      <c r="AH7" s="17">
        <v>0.93</v>
      </c>
      <c r="AI7" s="17">
        <v>0.93</v>
      </c>
      <c r="AJ7" s="17">
        <v>48.64</v>
      </c>
      <c r="AK7" s="17">
        <v>48.06</v>
      </c>
      <c r="AL7" s="17">
        <v>11.61</v>
      </c>
      <c r="AM7" s="17">
        <v>10.67</v>
      </c>
      <c r="AN7" s="17">
        <v>179.7</v>
      </c>
      <c r="AO7" s="17">
        <v>180.38</v>
      </c>
      <c r="AP7" s="17">
        <v>0.83</v>
      </c>
      <c r="AQ7" s="17">
        <v>0.81</v>
      </c>
      <c r="AR7" s="17">
        <v>1.49</v>
      </c>
      <c r="AS7" s="17">
        <v>1.5</v>
      </c>
      <c r="AT7" s="312" t="s">
        <v>83</v>
      </c>
      <c r="AU7" s="17">
        <v>19.010000000000002</v>
      </c>
      <c r="AV7" s="17">
        <v>19.079999999999998</v>
      </c>
      <c r="AW7" s="17">
        <v>2.29</v>
      </c>
      <c r="AX7" s="17">
        <v>2.2200000000000002</v>
      </c>
      <c r="AY7" s="17">
        <v>18.63</v>
      </c>
      <c r="AZ7" s="17">
        <v>18.52</v>
      </c>
      <c r="BA7" s="17">
        <v>0.06</v>
      </c>
      <c r="BB7" s="17">
        <v>0.06</v>
      </c>
      <c r="BC7" s="17">
        <v>49.19</v>
      </c>
      <c r="BD7" s="17">
        <v>49.51</v>
      </c>
      <c r="BE7" s="17">
        <v>9.5399999999999991</v>
      </c>
      <c r="BF7" s="17">
        <v>8.94</v>
      </c>
      <c r="BG7" s="17">
        <v>0.61</v>
      </c>
      <c r="BH7" s="17">
        <v>0.61</v>
      </c>
      <c r="BI7" s="312" t="s">
        <v>83</v>
      </c>
      <c r="BJ7" s="17">
        <v>65.19</v>
      </c>
      <c r="BK7" s="17">
        <v>64.180000000000007</v>
      </c>
      <c r="BL7" s="17">
        <v>1.5</v>
      </c>
      <c r="BM7" s="17">
        <v>1.48</v>
      </c>
      <c r="BN7" s="17">
        <v>106.99</v>
      </c>
      <c r="BO7" s="17">
        <v>184.2</v>
      </c>
      <c r="BP7" s="17">
        <v>2.09</v>
      </c>
      <c r="BQ7" s="17">
        <v>2.14</v>
      </c>
      <c r="BR7" s="17">
        <v>18.84</v>
      </c>
      <c r="BS7" s="17">
        <v>18.91</v>
      </c>
      <c r="BT7" s="17">
        <v>69.180000000000007</v>
      </c>
      <c r="BU7" s="17">
        <v>69.45</v>
      </c>
      <c r="BV7" s="17">
        <v>109.42</v>
      </c>
      <c r="BW7" s="17">
        <v>104.62</v>
      </c>
    </row>
    <row r="8" spans="1:75" ht="10.7" customHeight="1">
      <c r="A8" s="414" t="s">
        <v>225</v>
      </c>
      <c r="B8" s="372">
        <v>70.510000000000005</v>
      </c>
      <c r="C8" s="372">
        <v>79.22</v>
      </c>
      <c r="D8" s="372">
        <v>71.17</v>
      </c>
      <c r="E8" s="372">
        <v>74.150000000000006</v>
      </c>
      <c r="F8" s="372">
        <v>188.78</v>
      </c>
      <c r="G8" s="372">
        <v>196.65</v>
      </c>
      <c r="H8" s="372">
        <v>71.12</v>
      </c>
      <c r="I8" s="372">
        <v>76.41</v>
      </c>
      <c r="J8" s="372">
        <v>10.74</v>
      </c>
      <c r="K8" s="372">
        <v>11.46</v>
      </c>
      <c r="L8" s="372">
        <v>13.03</v>
      </c>
      <c r="M8" s="372">
        <v>14.35</v>
      </c>
      <c r="N8" s="372">
        <v>97.14</v>
      </c>
      <c r="O8" s="372">
        <v>107.02</v>
      </c>
      <c r="P8" s="414" t="s">
        <v>225</v>
      </c>
      <c r="Q8" s="372">
        <v>9.15</v>
      </c>
      <c r="R8" s="372">
        <v>9.5299999999999994</v>
      </c>
      <c r="S8" s="372">
        <v>1.57</v>
      </c>
      <c r="T8" s="372">
        <v>1.66</v>
      </c>
      <c r="U8" s="372">
        <v>0.01</v>
      </c>
      <c r="V8" s="372">
        <v>0.01</v>
      </c>
      <c r="W8" s="372">
        <v>0.01</v>
      </c>
      <c r="X8" s="372">
        <v>0.01</v>
      </c>
      <c r="Y8" s="372">
        <v>0.86</v>
      </c>
      <c r="Z8" s="372">
        <v>0.92</v>
      </c>
      <c r="AA8" s="372">
        <v>253.51</v>
      </c>
      <c r="AB8" s="372">
        <v>270.16000000000003</v>
      </c>
      <c r="AC8" s="372">
        <v>23.09</v>
      </c>
      <c r="AD8" s="372">
        <v>24.56</v>
      </c>
      <c r="AE8" s="414" t="s">
        <v>225</v>
      </c>
      <c r="AF8" s="372">
        <v>11.09</v>
      </c>
      <c r="AG8" s="372">
        <v>11.55</v>
      </c>
      <c r="AH8" s="372">
        <v>0.98</v>
      </c>
      <c r="AI8" s="372">
        <v>1.03</v>
      </c>
      <c r="AJ8" s="372">
        <v>53.99</v>
      </c>
      <c r="AK8" s="372">
        <v>61.19</v>
      </c>
      <c r="AL8" s="372">
        <v>12.28</v>
      </c>
      <c r="AM8" s="372">
        <v>13.78</v>
      </c>
      <c r="AN8" s="372">
        <v>184.85</v>
      </c>
      <c r="AO8" s="372">
        <v>192.58</v>
      </c>
      <c r="AP8" s="372">
        <v>0.83</v>
      </c>
      <c r="AQ8" s="372">
        <v>0.86</v>
      </c>
      <c r="AR8" s="372">
        <v>1.62</v>
      </c>
      <c r="AS8" s="372">
        <v>1.71</v>
      </c>
      <c r="AT8" s="414" t="s">
        <v>225</v>
      </c>
      <c r="AU8" s="372">
        <v>19.55</v>
      </c>
      <c r="AV8" s="372">
        <v>20.36</v>
      </c>
      <c r="AW8" s="372">
        <v>2.41</v>
      </c>
      <c r="AX8" s="372">
        <v>2.65</v>
      </c>
      <c r="AY8" s="372">
        <v>18.98</v>
      </c>
      <c r="AZ8" s="372">
        <v>19.77</v>
      </c>
      <c r="BA8" s="372">
        <v>0.06</v>
      </c>
      <c r="BB8" s="372">
        <v>7.0000000000000007E-2</v>
      </c>
      <c r="BC8" s="372">
        <v>55.09</v>
      </c>
      <c r="BD8" s="372">
        <v>60.14</v>
      </c>
      <c r="BE8" s="372">
        <v>10.67</v>
      </c>
      <c r="BF8" s="372">
        <v>11.75</v>
      </c>
      <c r="BG8" s="372">
        <v>0.64</v>
      </c>
      <c r="BH8" s="372">
        <v>0.68</v>
      </c>
      <c r="BI8" s="414" t="s">
        <v>225</v>
      </c>
      <c r="BJ8" s="372">
        <v>74.92</v>
      </c>
      <c r="BK8" s="372">
        <v>88.84</v>
      </c>
      <c r="BL8" s="372">
        <v>1.52</v>
      </c>
      <c r="BM8" s="372">
        <v>1.56</v>
      </c>
      <c r="BN8" s="372">
        <v>110.89</v>
      </c>
      <c r="BO8" s="372">
        <v>118.42</v>
      </c>
      <c r="BP8" s="372">
        <v>2.33</v>
      </c>
      <c r="BQ8" s="372">
        <v>2.41</v>
      </c>
      <c r="BR8" s="372">
        <v>19.38</v>
      </c>
      <c r="BS8" s="372">
        <v>20.190000000000001</v>
      </c>
      <c r="BT8" s="372">
        <v>71.17</v>
      </c>
      <c r="BU8" s="372">
        <v>74.150000000000006</v>
      </c>
      <c r="BV8" s="372">
        <v>113.26</v>
      </c>
      <c r="BW8" s="372">
        <v>119.13</v>
      </c>
    </row>
    <row r="9" spans="1:75" ht="10.7" customHeight="1">
      <c r="A9" s="312" t="s">
        <v>972</v>
      </c>
      <c r="B9" s="17">
        <v>81.650000000000006</v>
      </c>
      <c r="C9" s="17">
        <v>83.78</v>
      </c>
      <c r="D9" s="17">
        <v>79.099999999999994</v>
      </c>
      <c r="E9" s="17">
        <v>81.819999999999993</v>
      </c>
      <c r="F9" s="17">
        <v>209.8</v>
      </c>
      <c r="G9" s="17">
        <v>217.03</v>
      </c>
      <c r="H9" s="17">
        <v>78.84</v>
      </c>
      <c r="I9" s="17">
        <v>80.45</v>
      </c>
      <c r="J9" s="17">
        <v>12.47</v>
      </c>
      <c r="K9" s="17">
        <v>12.94</v>
      </c>
      <c r="L9" s="17">
        <v>14.22</v>
      </c>
      <c r="M9" s="17">
        <v>13.91</v>
      </c>
      <c r="N9" s="17">
        <v>105.78</v>
      </c>
      <c r="O9" s="17">
        <v>103.45</v>
      </c>
      <c r="P9" s="312" t="s">
        <v>972</v>
      </c>
      <c r="Q9" s="17">
        <v>10.18</v>
      </c>
      <c r="R9" s="17">
        <v>10.55</v>
      </c>
      <c r="S9" s="17">
        <v>1.58</v>
      </c>
      <c r="T9" s="17">
        <v>1.47</v>
      </c>
      <c r="U9" s="17">
        <v>0.01</v>
      </c>
      <c r="V9" s="17">
        <v>0.01</v>
      </c>
      <c r="W9" s="17">
        <v>0.01</v>
      </c>
      <c r="X9" s="17">
        <v>0.01</v>
      </c>
      <c r="Y9" s="17">
        <v>1.01</v>
      </c>
      <c r="Z9" s="17">
        <v>1.02</v>
      </c>
      <c r="AA9" s="17">
        <v>285.58</v>
      </c>
      <c r="AB9" s="17">
        <v>292.27</v>
      </c>
      <c r="AC9" s="17">
        <v>25.63</v>
      </c>
      <c r="AD9" s="17">
        <v>25.81</v>
      </c>
      <c r="AE9" s="312" t="s">
        <v>972</v>
      </c>
      <c r="AF9" s="17">
        <v>12.32</v>
      </c>
      <c r="AG9" s="17">
        <v>12.74</v>
      </c>
      <c r="AH9" s="17">
        <v>0.99</v>
      </c>
      <c r="AI9" s="17">
        <v>0.9</v>
      </c>
      <c r="AJ9" s="17">
        <v>63.62</v>
      </c>
      <c r="AK9" s="17">
        <v>65.52</v>
      </c>
      <c r="AL9" s="17">
        <v>13.79</v>
      </c>
      <c r="AM9" s="17">
        <v>13.72</v>
      </c>
      <c r="AN9" s="17">
        <v>205.3</v>
      </c>
      <c r="AO9" s="17">
        <v>212.52</v>
      </c>
      <c r="AP9" s="17">
        <v>0.89</v>
      </c>
      <c r="AQ9" s="17">
        <v>0.87</v>
      </c>
      <c r="AR9" s="17">
        <v>1.84</v>
      </c>
      <c r="AS9" s="17">
        <v>1.94</v>
      </c>
      <c r="AT9" s="312" t="s">
        <v>972</v>
      </c>
      <c r="AU9" s="17">
        <v>21.72</v>
      </c>
      <c r="AV9" s="17">
        <v>22.47</v>
      </c>
      <c r="AW9" s="17">
        <v>2.61</v>
      </c>
      <c r="AX9" s="17">
        <v>2.4900000000000002</v>
      </c>
      <c r="AY9" s="17">
        <v>21.09</v>
      </c>
      <c r="AZ9" s="17">
        <v>21.82</v>
      </c>
      <c r="BA9" s="17">
        <v>7.0000000000000007E-2</v>
      </c>
      <c r="BB9" s="17">
        <v>7.0000000000000007E-2</v>
      </c>
      <c r="BC9" s="17">
        <v>62.78</v>
      </c>
      <c r="BD9" s="17">
        <v>64.650000000000006</v>
      </c>
      <c r="BE9" s="17">
        <v>11.76</v>
      </c>
      <c r="BF9" s="17">
        <v>11.82</v>
      </c>
      <c r="BG9" s="17">
        <v>0.68</v>
      </c>
      <c r="BH9" s="17">
        <v>0.61</v>
      </c>
      <c r="BI9" s="312" t="s">
        <v>972</v>
      </c>
      <c r="BJ9" s="17">
        <v>88.18</v>
      </c>
      <c r="BK9" s="17">
        <v>86.11</v>
      </c>
      <c r="BL9" s="17">
        <v>1.47</v>
      </c>
      <c r="BM9" s="17">
        <v>1.28</v>
      </c>
      <c r="BN9" s="17">
        <v>123.03</v>
      </c>
      <c r="BO9" s="17">
        <v>124.16</v>
      </c>
      <c r="BP9" s="17">
        <v>2.56</v>
      </c>
      <c r="BQ9" s="17">
        <v>2.59</v>
      </c>
      <c r="BR9" s="17">
        <v>21.53</v>
      </c>
      <c r="BS9" s="17">
        <v>22.28</v>
      </c>
      <c r="BT9" s="17">
        <v>79.099999999999994</v>
      </c>
      <c r="BU9" s="17">
        <v>81.819999999999993</v>
      </c>
      <c r="BV9" s="17">
        <v>125.28</v>
      </c>
      <c r="BW9" s="17">
        <v>128.19999999999999</v>
      </c>
    </row>
    <row r="10" spans="1:75" ht="10.7" customHeight="1">
      <c r="A10" s="414" t="s">
        <v>1107</v>
      </c>
      <c r="B10" s="372">
        <v>82.13</v>
      </c>
      <c r="C10" s="372">
        <v>71.099999999999994</v>
      </c>
      <c r="D10" s="372">
        <v>79.930000000000007</v>
      </c>
      <c r="E10" s="372">
        <v>77.77</v>
      </c>
      <c r="F10" s="372">
        <v>212.02</v>
      </c>
      <c r="G10" s="372">
        <v>206.27</v>
      </c>
      <c r="H10" s="372">
        <v>79.62</v>
      </c>
      <c r="I10" s="372">
        <v>73.900000000000006</v>
      </c>
      <c r="J10" s="372">
        <v>12.72</v>
      </c>
      <c r="K10" s="372">
        <v>12.59</v>
      </c>
      <c r="L10" s="372">
        <v>13.87</v>
      </c>
      <c r="M10" s="372">
        <v>13.57</v>
      </c>
      <c r="N10" s="372">
        <v>103.37</v>
      </c>
      <c r="O10" s="372">
        <v>101.19</v>
      </c>
      <c r="P10" s="414" t="s">
        <v>1107</v>
      </c>
      <c r="Q10" s="372">
        <v>10.31</v>
      </c>
      <c r="R10" s="372">
        <v>10.029999999999999</v>
      </c>
      <c r="S10" s="372">
        <v>1.46</v>
      </c>
      <c r="T10" s="372">
        <v>1.31</v>
      </c>
      <c r="U10" s="372">
        <v>0.01</v>
      </c>
      <c r="V10" s="372">
        <v>0.01</v>
      </c>
      <c r="W10" s="372">
        <v>0.01</v>
      </c>
      <c r="X10" s="372">
        <v>0.01</v>
      </c>
      <c r="Y10" s="372">
        <v>0.92</v>
      </c>
      <c r="Z10" s="372">
        <v>0.78</v>
      </c>
      <c r="AA10" s="372">
        <v>282.77999999999997</v>
      </c>
      <c r="AB10" s="372">
        <v>272.62</v>
      </c>
      <c r="AC10" s="372">
        <v>25.93</v>
      </c>
      <c r="AD10" s="372">
        <v>24.61</v>
      </c>
      <c r="AE10" s="414" t="s">
        <v>1107</v>
      </c>
      <c r="AF10" s="372">
        <v>12.45</v>
      </c>
      <c r="AG10" s="372">
        <v>12.11</v>
      </c>
      <c r="AH10" s="372">
        <v>0.91</v>
      </c>
      <c r="AI10" s="372">
        <v>0.81</v>
      </c>
      <c r="AJ10" s="372">
        <v>65.7</v>
      </c>
      <c r="AK10" s="372">
        <v>60.24</v>
      </c>
      <c r="AL10" s="372">
        <v>13.88</v>
      </c>
      <c r="AM10" s="372">
        <v>12.81</v>
      </c>
      <c r="AN10" s="372">
        <v>207.59</v>
      </c>
      <c r="AO10" s="372">
        <v>201.99</v>
      </c>
      <c r="AP10" s="372">
        <v>0.83</v>
      </c>
      <c r="AQ10" s="372">
        <v>0.78</v>
      </c>
      <c r="AR10" s="372">
        <v>1.93</v>
      </c>
      <c r="AS10" s="372">
        <v>1.8</v>
      </c>
      <c r="AT10" s="414" t="s">
        <v>1107</v>
      </c>
      <c r="AU10" s="372">
        <v>21.95</v>
      </c>
      <c r="AV10" s="372">
        <v>21.36</v>
      </c>
      <c r="AW10" s="372">
        <v>2.56</v>
      </c>
      <c r="AX10" s="372">
        <v>2.36</v>
      </c>
      <c r="AY10" s="372">
        <v>21.31</v>
      </c>
      <c r="AZ10" s="372">
        <v>20.74</v>
      </c>
      <c r="BA10" s="372">
        <v>7.0000000000000007E-2</v>
      </c>
      <c r="BB10" s="372">
        <v>7.0000000000000007E-2</v>
      </c>
      <c r="BC10" s="372">
        <v>64.540000000000006</v>
      </c>
      <c r="BD10" s="372">
        <v>61.36</v>
      </c>
      <c r="BE10" s="372">
        <v>12.12</v>
      </c>
      <c r="BF10" s="372">
        <v>11.6</v>
      </c>
      <c r="BG10" s="372">
        <v>0.62</v>
      </c>
      <c r="BH10" s="372">
        <v>0.6</v>
      </c>
      <c r="BI10" s="414" t="s">
        <v>1107</v>
      </c>
      <c r="BJ10" s="372">
        <v>84.91</v>
      </c>
      <c r="BK10" s="372">
        <v>82.32</v>
      </c>
      <c r="BL10" s="372">
        <v>1.1200000000000001</v>
      </c>
      <c r="BM10" s="372">
        <v>0.77</v>
      </c>
      <c r="BN10" s="372">
        <v>121.56</v>
      </c>
      <c r="BO10" s="372">
        <v>116.96</v>
      </c>
      <c r="BP10" s="372">
        <v>2.63</v>
      </c>
      <c r="BQ10" s="372">
        <v>2.5</v>
      </c>
      <c r="BR10" s="372">
        <v>21.76</v>
      </c>
      <c r="BS10" s="372">
        <v>21.17</v>
      </c>
      <c r="BT10" s="372">
        <v>79.930000000000007</v>
      </c>
      <c r="BU10" s="372">
        <v>77.77</v>
      </c>
      <c r="BV10" s="372">
        <v>125.45</v>
      </c>
      <c r="BW10" s="372">
        <v>118.24</v>
      </c>
    </row>
    <row r="11" spans="1:75" s="185" customFormat="1" ht="10.7" customHeight="1">
      <c r="A11" s="791" t="s">
        <v>1347</v>
      </c>
      <c r="B11" s="415">
        <v>71.366500000000002</v>
      </c>
      <c r="C11" s="415">
        <v>73.17</v>
      </c>
      <c r="D11" s="415">
        <v>77.721800000000002</v>
      </c>
      <c r="E11" s="415">
        <v>77.63</v>
      </c>
      <c r="F11" s="415">
        <v>206.1584</v>
      </c>
      <c r="G11" s="415">
        <v>205.92</v>
      </c>
      <c r="H11" s="415">
        <v>72.688100000000006</v>
      </c>
      <c r="I11" s="415">
        <v>72.81</v>
      </c>
      <c r="J11" s="415">
        <v>12.6509</v>
      </c>
      <c r="K11" s="415">
        <v>12.62</v>
      </c>
      <c r="L11" s="415">
        <v>14.135199999999999</v>
      </c>
      <c r="M11" s="415">
        <v>14.21</v>
      </c>
      <c r="N11" s="415">
        <v>105.4555</v>
      </c>
      <c r="O11" s="415">
        <v>105.96</v>
      </c>
      <c r="P11" s="791" t="s">
        <v>1347</v>
      </c>
      <c r="Q11" s="415">
        <v>10.021800000000001</v>
      </c>
      <c r="R11" s="415">
        <v>10.02</v>
      </c>
      <c r="S11" s="415">
        <v>1.2666999999999999</v>
      </c>
      <c r="T11" s="415">
        <v>1.29</v>
      </c>
      <c r="U11" s="415">
        <v>6.7999999999999996E-3</v>
      </c>
      <c r="V11" s="415">
        <v>0.01</v>
      </c>
      <c r="W11" s="415">
        <v>3.0999999999999999E-3</v>
      </c>
      <c r="X11" s="415">
        <v>0</v>
      </c>
      <c r="Y11" s="415">
        <v>0.76949999999999996</v>
      </c>
      <c r="Z11" s="415">
        <v>0.77</v>
      </c>
      <c r="AA11" s="415">
        <v>274.81169999999997</v>
      </c>
      <c r="AB11" s="415">
        <v>275.48</v>
      </c>
      <c r="AC11" s="415">
        <v>23.951899999999998</v>
      </c>
      <c r="AD11" s="415">
        <v>24.19</v>
      </c>
      <c r="AE11" s="791" t="s">
        <v>1347</v>
      </c>
      <c r="AF11" s="415">
        <v>12.106199999999999</v>
      </c>
      <c r="AG11" s="415">
        <v>12.09</v>
      </c>
      <c r="AH11" s="415">
        <v>0.79120000000000001</v>
      </c>
      <c r="AI11" s="415">
        <v>0.81</v>
      </c>
      <c r="AJ11" s="415">
        <v>64.542199999999994</v>
      </c>
      <c r="AK11" s="415">
        <v>68.16</v>
      </c>
      <c r="AL11" s="415">
        <v>12.898300000000001</v>
      </c>
      <c r="AM11" s="415">
        <v>12.68</v>
      </c>
      <c r="AN11" s="415">
        <v>201.87649999999999</v>
      </c>
      <c r="AO11" s="415">
        <v>201.64</v>
      </c>
      <c r="AP11" s="415">
        <v>0.75619999999999998</v>
      </c>
      <c r="AQ11" s="415">
        <v>0.79</v>
      </c>
      <c r="AR11" s="415">
        <v>1.7890999999999999</v>
      </c>
      <c r="AS11" s="415">
        <v>1.78</v>
      </c>
      <c r="AT11" s="791" t="s">
        <v>1347</v>
      </c>
      <c r="AU11" s="415">
        <v>21.345800000000001</v>
      </c>
      <c r="AV11" s="415">
        <v>21.32</v>
      </c>
      <c r="AW11" s="415">
        <v>2.3018000000000001</v>
      </c>
      <c r="AX11" s="415">
        <v>2.2999999999999998</v>
      </c>
      <c r="AY11" s="415">
        <v>20.723500000000001</v>
      </c>
      <c r="AZ11" s="415">
        <v>20.7</v>
      </c>
      <c r="BA11" s="415">
        <v>7.3099999999999998E-2</v>
      </c>
      <c r="BB11" s="415">
        <v>0.08</v>
      </c>
      <c r="BC11" s="415">
        <v>61.703600000000002</v>
      </c>
      <c r="BD11" s="415">
        <v>62.12</v>
      </c>
      <c r="BE11" s="415">
        <v>11.901199999999999</v>
      </c>
      <c r="BF11" s="415">
        <v>11.52</v>
      </c>
      <c r="BG11" s="415">
        <v>0.5927</v>
      </c>
      <c r="BH11" s="415">
        <v>0.6</v>
      </c>
      <c r="BI11" s="791" t="s">
        <v>1347</v>
      </c>
      <c r="BJ11" s="415">
        <v>85.985900000000001</v>
      </c>
      <c r="BK11" s="415">
        <v>87.15</v>
      </c>
      <c r="BL11" s="415">
        <v>0.57769999999999999</v>
      </c>
      <c r="BM11" s="415">
        <v>0.52</v>
      </c>
      <c r="BN11" s="415">
        <v>119.22799999999999</v>
      </c>
      <c r="BO11" s="415">
        <v>119.87</v>
      </c>
      <c r="BP11" s="415">
        <v>2.4632000000000001</v>
      </c>
      <c r="BQ11" s="415">
        <v>2.39</v>
      </c>
      <c r="BR11" s="415">
        <v>21.160299999999999</v>
      </c>
      <c r="BS11" s="415">
        <v>21.14</v>
      </c>
      <c r="BT11" s="415">
        <v>77.721800000000002</v>
      </c>
      <c r="BU11" s="415">
        <v>77.63</v>
      </c>
      <c r="BV11" s="415">
        <v>126.401</v>
      </c>
      <c r="BW11" s="415">
        <v>132.24</v>
      </c>
    </row>
    <row r="12" spans="1:75" s="36" customFormat="1" ht="10.7" customHeight="1">
      <c r="A12" s="615" t="s">
        <v>1406</v>
      </c>
      <c r="B12" s="472">
        <v>65.014200000000002</v>
      </c>
      <c r="C12" s="472">
        <v>59.81</v>
      </c>
      <c r="D12" s="472">
        <v>77.674599999999998</v>
      </c>
      <c r="E12" s="472">
        <v>77.81</v>
      </c>
      <c r="F12" s="472">
        <v>206.0292</v>
      </c>
      <c r="G12" s="472">
        <v>206.35</v>
      </c>
      <c r="H12" s="472">
        <v>66.458699999999993</v>
      </c>
      <c r="I12" s="472">
        <v>62.78</v>
      </c>
      <c r="J12" s="472">
        <v>12.6549</v>
      </c>
      <c r="K12" s="472">
        <v>12.73</v>
      </c>
      <c r="L12" s="472">
        <v>12.5419</v>
      </c>
      <c r="M12" s="472">
        <v>11.72</v>
      </c>
      <c r="N12" s="472">
        <v>93.459400000000002</v>
      </c>
      <c r="O12" s="472">
        <v>87.43</v>
      </c>
      <c r="P12" s="615" t="s">
        <v>1406</v>
      </c>
      <c r="Q12" s="472">
        <v>10.017799999999999</v>
      </c>
      <c r="R12" s="472">
        <v>10.039999999999999</v>
      </c>
      <c r="S12" s="472">
        <v>1.2528999999999999</v>
      </c>
      <c r="T12" s="472">
        <v>1.22</v>
      </c>
      <c r="U12" s="472">
        <v>6.1999999999999998E-3</v>
      </c>
      <c r="V12" s="472">
        <v>0.01</v>
      </c>
      <c r="W12" s="472">
        <v>2.8E-3</v>
      </c>
      <c r="X12" s="472">
        <v>0</v>
      </c>
      <c r="Y12" s="472">
        <v>0.6804</v>
      </c>
      <c r="Z12" s="472">
        <v>0.63</v>
      </c>
      <c r="AA12" s="472">
        <v>265.0548</v>
      </c>
      <c r="AB12" s="472">
        <v>257.42</v>
      </c>
      <c r="AC12" s="472">
        <v>22.543600000000001</v>
      </c>
      <c r="AD12" s="472">
        <v>20.55</v>
      </c>
      <c r="AE12" s="615" t="s">
        <v>1406</v>
      </c>
      <c r="AF12" s="472">
        <v>7.5800000000000006E-2</v>
      </c>
      <c r="AG12" s="472">
        <v>7.0000000000000007E-2</v>
      </c>
      <c r="AH12" s="472">
        <v>0.78300000000000003</v>
      </c>
      <c r="AI12" s="472">
        <v>0.76</v>
      </c>
      <c r="AJ12" s="472">
        <v>60.438099999999999</v>
      </c>
      <c r="AK12" s="472">
        <v>53.34</v>
      </c>
      <c r="AL12" s="472">
        <v>10.959300000000001</v>
      </c>
      <c r="AM12" s="472">
        <v>9.9</v>
      </c>
      <c r="AN12" s="472">
        <v>201.7544</v>
      </c>
      <c r="AO12" s="472">
        <v>202.12</v>
      </c>
      <c r="AP12" s="472">
        <v>0.76639999999999997</v>
      </c>
      <c r="AQ12" s="472">
        <v>0.76</v>
      </c>
      <c r="AR12" s="472">
        <v>1.7483</v>
      </c>
      <c r="AS12" s="472">
        <v>1.72</v>
      </c>
      <c r="AT12" s="615" t="s">
        <v>1406</v>
      </c>
      <c r="AU12" s="472">
        <v>21.332699999999999</v>
      </c>
      <c r="AV12" s="472">
        <v>21.37</v>
      </c>
      <c r="AW12" s="472">
        <v>1.6351</v>
      </c>
      <c r="AX12" s="472">
        <v>1.4</v>
      </c>
      <c r="AY12" s="472">
        <v>20.705300000000001</v>
      </c>
      <c r="AZ12" s="472">
        <v>20.74</v>
      </c>
      <c r="BA12" s="472">
        <v>7.2099999999999997E-2</v>
      </c>
      <c r="BB12" s="472">
        <v>7.0000000000000007E-2</v>
      </c>
      <c r="BC12" s="472">
        <v>59.317100000000003</v>
      </c>
      <c r="BD12" s="472">
        <v>57.8</v>
      </c>
      <c r="BE12" s="472">
        <v>10.058400000000001</v>
      </c>
      <c r="BF12" s="472">
        <v>9.44</v>
      </c>
      <c r="BG12" s="472">
        <v>0.58940000000000003</v>
      </c>
      <c r="BH12" s="472">
        <v>0.57999999999999996</v>
      </c>
      <c r="BI12" s="615" t="s">
        <v>1406</v>
      </c>
      <c r="BJ12" s="472">
        <v>82.442999999999998</v>
      </c>
      <c r="BK12" s="472">
        <v>84.03</v>
      </c>
      <c r="BL12" s="472">
        <v>0.43109999999999998</v>
      </c>
      <c r="BM12" s="472">
        <v>0.36</v>
      </c>
      <c r="BN12" s="472">
        <v>112.64660000000001</v>
      </c>
      <c r="BO12" s="472">
        <v>109.18</v>
      </c>
      <c r="BP12" s="472">
        <v>2.3778999999999999</v>
      </c>
      <c r="BQ12" s="472">
        <v>2.2999999999999998</v>
      </c>
      <c r="BR12" s="472">
        <v>21.147400000000001</v>
      </c>
      <c r="BS12" s="472">
        <v>21.18</v>
      </c>
      <c r="BT12" s="472">
        <v>77.674599999999998</v>
      </c>
      <c r="BU12" s="472">
        <v>77.81</v>
      </c>
      <c r="BV12" s="472">
        <v>122.4104</v>
      </c>
      <c r="BW12" s="472">
        <v>122.42</v>
      </c>
    </row>
    <row r="13" spans="1:75" s="325" customFormat="1" ht="10.7" customHeight="1">
      <c r="A13" s="620" t="s">
        <v>1560</v>
      </c>
      <c r="B13" s="456">
        <v>57.023499999999999</v>
      </c>
      <c r="C13" s="456">
        <v>58.42</v>
      </c>
      <c r="D13" s="456">
        <v>78.2637</v>
      </c>
      <c r="E13" s="456">
        <v>78.400000000000006</v>
      </c>
      <c r="F13" s="456">
        <v>207.56620000000001</v>
      </c>
      <c r="G13" s="456">
        <v>207.76</v>
      </c>
      <c r="H13" s="456">
        <v>59.080199999999998</v>
      </c>
      <c r="I13" s="456">
        <v>60.63</v>
      </c>
      <c r="J13" s="456">
        <v>12.1837</v>
      </c>
      <c r="K13" s="456">
        <v>11.82</v>
      </c>
      <c r="L13" s="456">
        <v>11.653600000000001</v>
      </c>
      <c r="M13" s="456">
        <v>11.73</v>
      </c>
      <c r="N13" s="456">
        <v>86.882900000000006</v>
      </c>
      <c r="O13" s="456">
        <v>87.21</v>
      </c>
      <c r="P13" s="620" t="s">
        <v>1560</v>
      </c>
      <c r="Q13" s="456">
        <v>10.0863</v>
      </c>
      <c r="R13" s="456">
        <v>10.1</v>
      </c>
      <c r="S13" s="456">
        <v>1.1812</v>
      </c>
      <c r="T13" s="456">
        <v>1.1599999999999999</v>
      </c>
      <c r="U13" s="456">
        <v>5.7999999999999996E-3</v>
      </c>
      <c r="V13" s="456">
        <v>0.01</v>
      </c>
      <c r="W13" s="456">
        <v>2.5999999999999999E-3</v>
      </c>
      <c r="X13" s="456">
        <v>0</v>
      </c>
      <c r="Y13" s="456">
        <v>0.67200000000000004</v>
      </c>
      <c r="Z13" s="456">
        <v>0.76</v>
      </c>
      <c r="AA13" s="456">
        <v>258.94290000000001</v>
      </c>
      <c r="AB13" s="456">
        <v>259.52</v>
      </c>
      <c r="AC13" s="456">
        <v>18.955200000000001</v>
      </c>
      <c r="AD13" s="456">
        <v>19.5</v>
      </c>
      <c r="AE13" s="620" t="s">
        <v>1560</v>
      </c>
      <c r="AF13" s="456">
        <v>6.3100000000000003E-2</v>
      </c>
      <c r="AG13" s="456">
        <v>7.0000000000000007E-2</v>
      </c>
      <c r="AH13" s="456">
        <v>0.73850000000000005</v>
      </c>
      <c r="AI13" s="456">
        <v>0.72</v>
      </c>
      <c r="AJ13" s="456">
        <v>52.3</v>
      </c>
      <c r="AK13" s="456">
        <v>55.76</v>
      </c>
      <c r="AL13" s="456">
        <v>9.3177000000000003</v>
      </c>
      <c r="AM13" s="456">
        <v>9.34</v>
      </c>
      <c r="AN13" s="456">
        <v>203.2773</v>
      </c>
      <c r="AO13" s="456">
        <v>203.63</v>
      </c>
      <c r="AP13" s="456">
        <v>0.75029999999999997</v>
      </c>
      <c r="AQ13" s="456">
        <v>0.75</v>
      </c>
      <c r="AR13" s="456">
        <v>1.6767000000000001</v>
      </c>
      <c r="AS13" s="456">
        <v>1.67</v>
      </c>
      <c r="AT13" s="620" t="s">
        <v>1560</v>
      </c>
      <c r="AU13" s="456">
        <v>21.494900000000001</v>
      </c>
      <c r="AV13" s="456">
        <v>21.53</v>
      </c>
      <c r="AW13" s="456">
        <v>1.1691</v>
      </c>
      <c r="AX13" s="456">
        <v>1.22</v>
      </c>
      <c r="AY13" s="456">
        <v>20.8674</v>
      </c>
      <c r="AZ13" s="456">
        <v>20.9</v>
      </c>
      <c r="BA13" s="456">
        <v>6.6699999999999995E-2</v>
      </c>
      <c r="BB13" s="456">
        <v>7.0000000000000007E-2</v>
      </c>
      <c r="BC13" s="456">
        <v>56.334699999999998</v>
      </c>
      <c r="BD13" s="456">
        <v>58.16</v>
      </c>
      <c r="BE13" s="456">
        <v>9.3073999999999995</v>
      </c>
      <c r="BF13" s="456">
        <v>9.25</v>
      </c>
      <c r="BG13" s="456">
        <v>0.55110000000000003</v>
      </c>
      <c r="BH13" s="456">
        <v>0.54</v>
      </c>
      <c r="BI13" s="620" t="s">
        <v>1560</v>
      </c>
      <c r="BJ13" s="456">
        <v>79.908100000000005</v>
      </c>
      <c r="BK13" s="456">
        <v>80.02</v>
      </c>
      <c r="BL13" s="456">
        <v>0.35630000000000001</v>
      </c>
      <c r="BM13" s="456">
        <v>0.36</v>
      </c>
      <c r="BN13" s="456">
        <v>109.4175</v>
      </c>
      <c r="BO13" s="456">
        <v>109.44</v>
      </c>
      <c r="BP13" s="456">
        <v>2.2054999999999998</v>
      </c>
      <c r="BQ13" s="456">
        <v>2.2200000000000002</v>
      </c>
      <c r="BR13" s="456">
        <v>21.308199999999999</v>
      </c>
      <c r="BS13" s="456">
        <v>21.35</v>
      </c>
      <c r="BT13" s="456">
        <v>78.2637</v>
      </c>
      <c r="BU13" s="456">
        <v>78.400000000000006</v>
      </c>
      <c r="BV13" s="456">
        <v>116.15600000000001</v>
      </c>
      <c r="BW13" s="456">
        <v>105.25</v>
      </c>
    </row>
    <row r="14" spans="1:75" s="325" customFormat="1" ht="10.7" customHeight="1">
      <c r="A14" s="615" t="s">
        <v>1596</v>
      </c>
      <c r="B14" s="472">
        <v>59.658900000000003</v>
      </c>
      <c r="C14" s="472">
        <v>61.93</v>
      </c>
      <c r="D14" s="472">
        <v>79.119200000000006</v>
      </c>
      <c r="E14" s="472">
        <v>80.599999999999994</v>
      </c>
      <c r="F14" s="472">
        <v>209.82980000000001</v>
      </c>
      <c r="G14" s="472">
        <v>213.64</v>
      </c>
      <c r="H14" s="472">
        <v>59.645600000000002</v>
      </c>
      <c r="I14" s="472">
        <v>61.98</v>
      </c>
      <c r="J14" s="472">
        <v>11.6242</v>
      </c>
      <c r="K14" s="472">
        <v>11.9</v>
      </c>
      <c r="L14" s="472">
        <v>11.596</v>
      </c>
      <c r="M14" s="472">
        <v>12.4</v>
      </c>
      <c r="N14" s="472">
        <v>86.2637</v>
      </c>
      <c r="O14" s="472">
        <v>92.21</v>
      </c>
      <c r="P14" s="615" t="s">
        <v>1596</v>
      </c>
      <c r="Q14" s="472">
        <v>10.189</v>
      </c>
      <c r="R14" s="472">
        <v>10.33</v>
      </c>
      <c r="S14" s="472">
        <v>1.1911</v>
      </c>
      <c r="T14" s="472">
        <v>1.25</v>
      </c>
      <c r="U14" s="472">
        <v>6.0000000000000001E-3</v>
      </c>
      <c r="V14" s="472">
        <v>0.01</v>
      </c>
      <c r="W14" s="472">
        <v>2.5000000000000001E-3</v>
      </c>
      <c r="X14" s="472">
        <v>0</v>
      </c>
      <c r="Y14" s="472">
        <v>0.7268</v>
      </c>
      <c r="Z14" s="472">
        <v>0.72</v>
      </c>
      <c r="AA14" s="472">
        <v>260.45460000000003</v>
      </c>
      <c r="AB14" s="472">
        <v>265.73</v>
      </c>
      <c r="AC14" s="472">
        <v>18.4786</v>
      </c>
      <c r="AD14" s="472">
        <v>18.77</v>
      </c>
      <c r="AE14" s="615" t="s">
        <v>1596</v>
      </c>
      <c r="AF14" s="472">
        <v>6.0699999999999997E-2</v>
      </c>
      <c r="AG14" s="472">
        <v>0.06</v>
      </c>
      <c r="AH14" s="472">
        <v>0.74399999999999999</v>
      </c>
      <c r="AI14" s="472">
        <v>0.78</v>
      </c>
      <c r="AJ14" s="472">
        <v>56.3782</v>
      </c>
      <c r="AK14" s="472">
        <v>58.84</v>
      </c>
      <c r="AL14" s="472">
        <v>9.4036000000000008</v>
      </c>
      <c r="AM14" s="472">
        <v>9.61</v>
      </c>
      <c r="AN14" s="472">
        <v>205.4922</v>
      </c>
      <c r="AO14" s="472">
        <v>209.23</v>
      </c>
      <c r="AP14" s="472">
        <v>0.75529999999999997</v>
      </c>
      <c r="AQ14" s="472">
        <v>0.77</v>
      </c>
      <c r="AR14" s="472">
        <v>1.6155999999999999</v>
      </c>
      <c r="AS14" s="472">
        <v>1.6</v>
      </c>
      <c r="AT14" s="615" t="s">
        <v>1596</v>
      </c>
      <c r="AU14" s="472">
        <v>21.713799999999999</v>
      </c>
      <c r="AV14" s="472">
        <v>21.58</v>
      </c>
      <c r="AW14" s="472">
        <v>1.3027</v>
      </c>
      <c r="AX14" s="472">
        <v>1.36</v>
      </c>
      <c r="AY14" s="472">
        <v>21.095400000000001</v>
      </c>
      <c r="AZ14" s="472">
        <v>21.49</v>
      </c>
      <c r="BA14" s="472">
        <v>6.9400000000000003E-2</v>
      </c>
      <c r="BB14" s="472">
        <v>7.0000000000000007E-2</v>
      </c>
      <c r="BC14" s="472">
        <v>56.838999999999999</v>
      </c>
      <c r="BD14" s="472">
        <v>58.43</v>
      </c>
      <c r="BE14" s="472">
        <v>8.9743999999999993</v>
      </c>
      <c r="BF14" s="472">
        <v>9.52</v>
      </c>
      <c r="BG14" s="472">
        <v>0.53</v>
      </c>
      <c r="BH14" s="472">
        <v>0.52</v>
      </c>
      <c r="BI14" s="615" t="s">
        <v>1596</v>
      </c>
      <c r="BJ14" s="472">
        <v>79.829700000000003</v>
      </c>
      <c r="BK14" s="472">
        <v>84.32</v>
      </c>
      <c r="BL14" s="472">
        <v>0.2079</v>
      </c>
      <c r="BM14" s="472">
        <v>0.16</v>
      </c>
      <c r="BN14" s="472">
        <v>108.5568</v>
      </c>
      <c r="BO14" s="472">
        <v>112.08</v>
      </c>
      <c r="BP14" s="472">
        <v>2.2667000000000002</v>
      </c>
      <c r="BQ14" s="472">
        <v>2.37</v>
      </c>
      <c r="BR14" s="472">
        <v>21.540900000000001</v>
      </c>
      <c r="BS14" s="472">
        <v>21.94</v>
      </c>
      <c r="BT14" s="472">
        <v>79.119200000000006</v>
      </c>
      <c r="BU14" s="472">
        <v>80.599999999999994</v>
      </c>
      <c r="BV14" s="472">
        <v>100.3793</v>
      </c>
      <c r="BW14" s="472">
        <v>104.82</v>
      </c>
    </row>
    <row r="15" spans="1:75" s="325" customFormat="1" ht="10.7" customHeight="1">
      <c r="A15" s="777" t="s">
        <v>1756</v>
      </c>
      <c r="B15" s="808">
        <v>63.658630000000002</v>
      </c>
      <c r="C15" s="808">
        <v>61.58</v>
      </c>
      <c r="D15" s="808">
        <v>82.100874000000005</v>
      </c>
      <c r="E15" s="808">
        <v>83.73</v>
      </c>
      <c r="F15" s="808">
        <v>217.64671100000001</v>
      </c>
      <c r="G15" s="808">
        <v>221.47</v>
      </c>
      <c r="H15" s="808">
        <v>64.688146000000003</v>
      </c>
      <c r="I15" s="808">
        <v>63.21</v>
      </c>
      <c r="J15" s="808">
        <v>12.660601</v>
      </c>
      <c r="K15" s="808">
        <v>12.65</v>
      </c>
      <c r="L15" s="808">
        <v>13.163303000000001</v>
      </c>
      <c r="M15" s="808">
        <v>13</v>
      </c>
      <c r="N15" s="808">
        <v>97.992005000000006</v>
      </c>
      <c r="O15" s="808">
        <v>96.86</v>
      </c>
      <c r="P15" s="777" t="s">
        <v>1756</v>
      </c>
      <c r="Q15" s="808">
        <v>10.493054000000001</v>
      </c>
      <c r="R15" s="808">
        <v>10.67</v>
      </c>
      <c r="S15" s="808">
        <v>1.2622720000000001</v>
      </c>
      <c r="T15" s="808">
        <v>1.22</v>
      </c>
      <c r="U15" s="808">
        <v>6.0390000000000001E-3</v>
      </c>
      <c r="V15" s="808">
        <v>0.01</v>
      </c>
      <c r="W15" s="808">
        <v>2.258E-3</v>
      </c>
      <c r="X15" s="808">
        <v>0</v>
      </c>
      <c r="Y15" s="808">
        <v>0.74442600000000003</v>
      </c>
      <c r="Z15" s="808">
        <v>0.76</v>
      </c>
      <c r="AA15" s="808">
        <v>272.38111300000003</v>
      </c>
      <c r="AB15" s="808">
        <v>276.82</v>
      </c>
      <c r="AC15" s="808">
        <v>20.178184999999999</v>
      </c>
      <c r="AD15" s="808">
        <v>20.74</v>
      </c>
      <c r="AE15" s="777" t="s">
        <v>1756</v>
      </c>
      <c r="AF15" s="808">
        <v>6.0657999999999997E-2</v>
      </c>
      <c r="AG15" s="808">
        <v>0.06</v>
      </c>
      <c r="AH15" s="808">
        <v>0.78928299999999996</v>
      </c>
      <c r="AI15" s="808">
        <v>0.77</v>
      </c>
      <c r="AJ15" s="808">
        <v>58.730638999999996</v>
      </c>
      <c r="AK15" s="808">
        <v>56.56</v>
      </c>
      <c r="AL15" s="808">
        <v>10.272456</v>
      </c>
      <c r="AM15" s="808">
        <v>10.220000000000001</v>
      </c>
      <c r="AN15" s="808">
        <v>213.226247</v>
      </c>
      <c r="AO15" s="808">
        <v>217.47</v>
      </c>
      <c r="AP15" s="808">
        <v>0.74837200000000004</v>
      </c>
      <c r="AQ15" s="808">
        <v>0.69</v>
      </c>
      <c r="AR15" s="808">
        <v>1.597353</v>
      </c>
      <c r="AS15" s="808">
        <v>1.57</v>
      </c>
      <c r="AT15" s="777" t="s">
        <v>1756</v>
      </c>
      <c r="AU15" s="687">
        <v>22.433156</v>
      </c>
      <c r="AV15" s="808">
        <v>23</v>
      </c>
      <c r="AW15" s="808">
        <v>1.392849</v>
      </c>
      <c r="AX15" s="808">
        <v>1.33</v>
      </c>
      <c r="AY15" s="808">
        <v>21.892281000000001</v>
      </c>
      <c r="AZ15" s="808">
        <v>22.32</v>
      </c>
      <c r="BA15" s="808">
        <v>7.4847999999999998E-2</v>
      </c>
      <c r="BB15" s="808">
        <v>0.08</v>
      </c>
      <c r="BC15" s="808">
        <v>61.194586000000001</v>
      </c>
      <c r="BD15" s="808">
        <v>61.21</v>
      </c>
      <c r="BE15" s="808">
        <v>9.896687</v>
      </c>
      <c r="BF15" s="808">
        <v>9.34</v>
      </c>
      <c r="BG15" s="808">
        <v>0.53053300000000003</v>
      </c>
      <c r="BH15" s="808">
        <v>0.53</v>
      </c>
      <c r="BI15" s="777" t="s">
        <v>1756</v>
      </c>
      <c r="BJ15" s="808">
        <v>84.626541000000003</v>
      </c>
      <c r="BK15" s="808">
        <v>83.94</v>
      </c>
      <c r="BL15" s="808">
        <v>0.159326</v>
      </c>
      <c r="BM15" s="808">
        <v>0.16</v>
      </c>
      <c r="BN15" s="808">
        <v>116.904573</v>
      </c>
      <c r="BO15" s="808">
        <v>117.62</v>
      </c>
      <c r="BP15" s="808">
        <v>2.5323829999999998</v>
      </c>
      <c r="BQ15" s="808">
        <v>2.5299999999999998</v>
      </c>
      <c r="BR15" s="808">
        <v>22.35247</v>
      </c>
      <c r="BS15" s="808">
        <v>22.79</v>
      </c>
      <c r="BT15" s="808">
        <v>82.100874000000005</v>
      </c>
      <c r="BU15" s="808">
        <v>83.73</v>
      </c>
      <c r="BV15" s="808">
        <v>110.612995</v>
      </c>
      <c r="BW15" s="808">
        <v>109.5</v>
      </c>
    </row>
    <row r="16" spans="1:75" s="325" customFormat="1" ht="10.7" customHeight="1">
      <c r="A16" s="806" t="s">
        <v>1904</v>
      </c>
      <c r="B16" s="686">
        <v>60.13044</v>
      </c>
      <c r="C16" s="686">
        <f>C28</f>
        <v>59.32</v>
      </c>
      <c r="D16" s="686">
        <v>84.026285999999999</v>
      </c>
      <c r="E16" s="686">
        <f>E28</f>
        <v>84.5</v>
      </c>
      <c r="F16" s="686">
        <v>222.77708799999999</v>
      </c>
      <c r="G16" s="686">
        <f>G28</f>
        <v>224.14</v>
      </c>
      <c r="H16" s="686">
        <v>63.498502999999999</v>
      </c>
      <c r="I16" s="686">
        <f>I28</f>
        <v>64.540000000000006</v>
      </c>
      <c r="J16" s="686">
        <v>12.329136</v>
      </c>
      <c r="K16" s="686">
        <f>K28</f>
        <v>12.29</v>
      </c>
      <c r="L16" s="686">
        <v>12.848271</v>
      </c>
      <c r="M16" s="686">
        <f>M28</f>
        <v>12.87</v>
      </c>
      <c r="N16" s="686">
        <v>95.877876000000001</v>
      </c>
      <c r="O16" s="686">
        <f>O28</f>
        <v>96.08</v>
      </c>
      <c r="P16" s="806" t="s">
        <v>1904</v>
      </c>
      <c r="Q16" s="686">
        <v>10.717393</v>
      </c>
      <c r="R16" s="686">
        <f>R28</f>
        <v>10.82</v>
      </c>
      <c r="S16" s="686">
        <v>1.1916819999999999</v>
      </c>
      <c r="T16" s="686">
        <f>T28</f>
        <v>1.23</v>
      </c>
      <c r="U16" s="686">
        <v>5.8180000000000003E-3</v>
      </c>
      <c r="V16" s="686">
        <f>V28</f>
        <v>0.01</v>
      </c>
      <c r="W16" s="686">
        <v>1.9940000000000001E-3</v>
      </c>
      <c r="X16" s="686">
        <f>X28</f>
        <v>0</v>
      </c>
      <c r="Y16" s="686">
        <v>0.75638300000000003</v>
      </c>
      <c r="Z16" s="686">
        <f>Z28</f>
        <v>0.78</v>
      </c>
      <c r="AA16" s="686">
        <v>276.78387400000003</v>
      </c>
      <c r="AB16" s="686">
        <f>AB28</f>
        <v>278.45999999999998</v>
      </c>
      <c r="AC16" s="686">
        <v>20.365683000000001</v>
      </c>
      <c r="AD16" s="686">
        <f>AD28</f>
        <v>20.45</v>
      </c>
      <c r="AE16" s="806" t="s">
        <v>1904</v>
      </c>
      <c r="AF16" s="686">
        <v>5.4908999999999999E-2</v>
      </c>
      <c r="AG16" s="686">
        <f>AG28</f>
        <v>0.06</v>
      </c>
      <c r="AH16" s="686">
        <v>0.738479</v>
      </c>
      <c r="AI16" s="686">
        <f>AI28</f>
        <v>0.74</v>
      </c>
      <c r="AJ16" s="686">
        <v>56.357278000000001</v>
      </c>
      <c r="AK16" s="686">
        <f>AK28</f>
        <v>56.78</v>
      </c>
      <c r="AL16" s="686">
        <v>9.9208660000000002</v>
      </c>
      <c r="AM16" s="686">
        <f>AM28</f>
        <v>9.9</v>
      </c>
      <c r="AN16" s="686">
        <v>218.257195</v>
      </c>
      <c r="AO16" s="686">
        <f>AO28</f>
        <v>219.48</v>
      </c>
      <c r="AP16" s="686">
        <v>0.61963699999999999</v>
      </c>
      <c r="AQ16" s="686">
        <f>AQ28</f>
        <v>0.52</v>
      </c>
      <c r="AR16" s="686">
        <v>1.5919129999999999</v>
      </c>
      <c r="AS16" s="686">
        <f>AS28</f>
        <v>1.65</v>
      </c>
      <c r="AT16" s="806" t="s">
        <v>1904</v>
      </c>
      <c r="AU16" s="807">
        <v>23.075112000000001</v>
      </c>
      <c r="AV16" s="686">
        <f>AV28</f>
        <v>23.21</v>
      </c>
      <c r="AW16" s="686">
        <v>1.2804949999999999</v>
      </c>
      <c r="AX16" s="686">
        <f>AX28</f>
        <v>1.34</v>
      </c>
      <c r="AY16" s="686">
        <v>22.402844999999999</v>
      </c>
      <c r="AZ16" s="686">
        <f>AZ28</f>
        <v>22.53</v>
      </c>
      <c r="BA16" s="686">
        <v>7.4062000000000003E-2</v>
      </c>
      <c r="BB16" s="686">
        <f>BB28</f>
        <v>7.0000000000000007E-2</v>
      </c>
      <c r="BC16" s="686">
        <v>61.545448</v>
      </c>
      <c r="BD16" s="686">
        <f>BD28</f>
        <v>62.47</v>
      </c>
      <c r="BE16" s="686">
        <v>9.1900670000000009</v>
      </c>
      <c r="BF16" s="686">
        <f>BF28</f>
        <v>9.1</v>
      </c>
      <c r="BG16" s="686">
        <v>0.48621799999999998</v>
      </c>
      <c r="BH16" s="686">
        <f>BH28</f>
        <v>0.48</v>
      </c>
      <c r="BI16" s="700" t="s">
        <v>1904</v>
      </c>
      <c r="BJ16" s="686">
        <v>84.462277</v>
      </c>
      <c r="BK16" s="686">
        <f>BK28</f>
        <v>86.56</v>
      </c>
      <c r="BL16" s="686">
        <v>0.16306300000000001</v>
      </c>
      <c r="BM16" s="686">
        <f>BM28</f>
        <v>0.16</v>
      </c>
      <c r="BN16" s="686">
        <v>116.893812</v>
      </c>
      <c r="BO16" s="686">
        <f>BO28</f>
        <v>117.48</v>
      </c>
      <c r="BP16" s="686">
        <v>2.6052249999999999</v>
      </c>
      <c r="BQ16" s="686">
        <f>BQ28</f>
        <v>2.75</v>
      </c>
      <c r="BR16" s="686">
        <v>22.875958000000001</v>
      </c>
      <c r="BS16" s="686">
        <f>BS28</f>
        <v>23</v>
      </c>
      <c r="BT16" s="686">
        <v>84.026285999999999</v>
      </c>
      <c r="BU16" s="686">
        <f>BU28</f>
        <v>84.5</v>
      </c>
      <c r="BV16" s="686">
        <v>108.79983300000001</v>
      </c>
      <c r="BW16" s="686">
        <f>BW28</f>
        <v>107.27</v>
      </c>
    </row>
    <row r="17" spans="1:75" s="325" customFormat="1" ht="10.7" customHeight="1">
      <c r="A17" s="696" t="s">
        <v>742</v>
      </c>
      <c r="B17" s="456">
        <v>62.05</v>
      </c>
      <c r="C17" s="456">
        <v>62.03</v>
      </c>
      <c r="D17" s="456">
        <v>83.75</v>
      </c>
      <c r="E17" s="456">
        <v>83.75</v>
      </c>
      <c r="F17" s="456">
        <v>221.25</v>
      </c>
      <c r="G17" s="456">
        <v>221.59</v>
      </c>
      <c r="H17" s="456">
        <v>63.78</v>
      </c>
      <c r="I17" s="456">
        <v>64.25</v>
      </c>
      <c r="J17" s="456">
        <v>12.5</v>
      </c>
      <c r="K17" s="456">
        <v>12.29</v>
      </c>
      <c r="L17" s="456">
        <v>13.14</v>
      </c>
      <c r="M17" s="456">
        <v>13.16</v>
      </c>
      <c r="N17" s="456">
        <v>97.9</v>
      </c>
      <c r="O17" s="456">
        <v>98.04</v>
      </c>
      <c r="P17" s="696" t="s">
        <v>742</v>
      </c>
      <c r="Q17" s="456">
        <v>10.67</v>
      </c>
      <c r="R17" s="456">
        <v>10.67</v>
      </c>
      <c r="S17" s="456">
        <v>1.22</v>
      </c>
      <c r="T17" s="456">
        <v>1.22</v>
      </c>
      <c r="U17" s="456">
        <v>0.01</v>
      </c>
      <c r="V17" s="456">
        <v>0.01</v>
      </c>
      <c r="W17" s="456">
        <v>0</v>
      </c>
      <c r="X17" s="456">
        <v>0</v>
      </c>
      <c r="Y17" s="456">
        <v>0.75</v>
      </c>
      <c r="Z17" s="456">
        <v>0.75</v>
      </c>
      <c r="AA17" s="456">
        <v>276.63</v>
      </c>
      <c r="AB17" s="456">
        <v>276.68</v>
      </c>
      <c r="AC17" s="456">
        <v>20.68</v>
      </c>
      <c r="AD17" s="456">
        <v>20.63</v>
      </c>
      <c r="AE17" s="696" t="s">
        <v>742</v>
      </c>
      <c r="AF17" s="456">
        <v>0.06</v>
      </c>
      <c r="AG17" s="456">
        <v>0.06</v>
      </c>
      <c r="AH17" s="456">
        <v>0.76</v>
      </c>
      <c r="AI17" s="456">
        <v>0.76</v>
      </c>
      <c r="AJ17" s="456">
        <v>56.87</v>
      </c>
      <c r="AK17" s="456">
        <v>57.14</v>
      </c>
      <c r="AL17" s="456">
        <v>10.3</v>
      </c>
      <c r="AM17" s="456">
        <v>10.3</v>
      </c>
      <c r="AN17" s="456">
        <v>217.55</v>
      </c>
      <c r="AO17" s="456">
        <v>217.56</v>
      </c>
      <c r="AP17" s="456">
        <v>0.67</v>
      </c>
      <c r="AQ17" s="456">
        <v>0.69</v>
      </c>
      <c r="AR17" s="456">
        <v>1.57</v>
      </c>
      <c r="AS17" s="456">
        <v>1.58</v>
      </c>
      <c r="AT17" s="696" t="s">
        <v>742</v>
      </c>
      <c r="AU17" s="695">
        <v>22.99</v>
      </c>
      <c r="AV17" s="456">
        <v>23</v>
      </c>
      <c r="AW17" s="456">
        <v>1.33</v>
      </c>
      <c r="AX17" s="456">
        <v>1.34</v>
      </c>
      <c r="AY17" s="456">
        <v>22.33</v>
      </c>
      <c r="AZ17" s="456">
        <v>22.33</v>
      </c>
      <c r="BA17" s="456">
        <v>7.0000000000000007E-2</v>
      </c>
      <c r="BB17" s="456">
        <v>7.0000000000000007E-2</v>
      </c>
      <c r="BC17" s="456">
        <v>61.46</v>
      </c>
      <c r="BD17" s="456">
        <v>61.54</v>
      </c>
      <c r="BE17" s="456">
        <v>9.49</v>
      </c>
      <c r="BF17" s="456">
        <v>9.56</v>
      </c>
      <c r="BG17" s="456">
        <v>0.53</v>
      </c>
      <c r="BH17" s="456">
        <v>0.52</v>
      </c>
      <c r="BI17" s="696" t="s">
        <v>742</v>
      </c>
      <c r="BJ17" s="456">
        <v>84.25</v>
      </c>
      <c r="BK17" s="456">
        <v>84.74</v>
      </c>
      <c r="BL17" s="456">
        <v>0.16</v>
      </c>
      <c r="BM17" s="456">
        <v>0.16</v>
      </c>
      <c r="BN17" s="456">
        <v>117.67</v>
      </c>
      <c r="BO17" s="456">
        <v>117.53</v>
      </c>
      <c r="BP17" s="456">
        <v>2.52</v>
      </c>
      <c r="BQ17" s="456">
        <v>2.5099999999999998</v>
      </c>
      <c r="BR17" s="456">
        <v>22.8</v>
      </c>
      <c r="BS17" s="456">
        <v>22.8</v>
      </c>
      <c r="BT17" s="456">
        <v>83.75</v>
      </c>
      <c r="BU17" s="456">
        <v>83.75</v>
      </c>
      <c r="BV17" s="456">
        <v>110.4</v>
      </c>
      <c r="BW17" s="456">
        <v>109.99</v>
      </c>
    </row>
    <row r="18" spans="1:75" s="325" customFormat="1" ht="10.7" customHeight="1">
      <c r="A18" s="699" t="s">
        <v>743</v>
      </c>
      <c r="B18" s="995">
        <v>61.48</v>
      </c>
      <c r="C18" s="995">
        <v>61.23</v>
      </c>
      <c r="D18" s="995">
        <v>83.75</v>
      </c>
      <c r="E18" s="995">
        <v>83.75</v>
      </c>
      <c r="F18" s="995">
        <v>221.88</v>
      </c>
      <c r="G18" s="995">
        <v>222.03</v>
      </c>
      <c r="H18" s="995">
        <v>64.239999999999995</v>
      </c>
      <c r="I18" s="782">
        <v>64.900000000000006</v>
      </c>
      <c r="J18" s="995">
        <v>12.23</v>
      </c>
      <c r="K18" s="782">
        <v>12.3</v>
      </c>
      <c r="L18" s="995">
        <v>12.98</v>
      </c>
      <c r="M18" s="995">
        <v>13.15</v>
      </c>
      <c r="N18" s="995">
        <v>96.74</v>
      </c>
      <c r="O18" s="995">
        <v>98.05</v>
      </c>
      <c r="P18" s="699" t="s">
        <v>743</v>
      </c>
      <c r="Q18" s="472">
        <v>10.67</v>
      </c>
      <c r="R18" s="472">
        <v>10.67</v>
      </c>
      <c r="S18" s="472">
        <v>1.21</v>
      </c>
      <c r="T18" s="472">
        <v>1.19</v>
      </c>
      <c r="U18" s="472">
        <v>0.01</v>
      </c>
      <c r="V18" s="472">
        <v>0.01</v>
      </c>
      <c r="W18" s="472">
        <v>0</v>
      </c>
      <c r="X18" s="472">
        <v>0</v>
      </c>
      <c r="Y18" s="472">
        <v>0.75</v>
      </c>
      <c r="Z18" s="472">
        <v>0.75</v>
      </c>
      <c r="AA18" s="472">
        <v>276.36</v>
      </c>
      <c r="AB18" s="472">
        <v>276.72000000000003</v>
      </c>
      <c r="AC18" s="472">
        <v>20.47</v>
      </c>
      <c r="AD18" s="472">
        <v>20.39</v>
      </c>
      <c r="AE18" s="699" t="s">
        <v>743</v>
      </c>
      <c r="AF18" s="472">
        <v>0.06</v>
      </c>
      <c r="AG18" s="472">
        <v>0.05</v>
      </c>
      <c r="AH18" s="472">
        <v>0.75</v>
      </c>
      <c r="AI18" s="472">
        <v>0.75</v>
      </c>
      <c r="AJ18" s="472">
        <v>55.98</v>
      </c>
      <c r="AK18" s="472">
        <v>56.26</v>
      </c>
      <c r="AL18" s="472">
        <v>10.06</v>
      </c>
      <c r="AM18" s="472">
        <v>10.050000000000001</v>
      </c>
      <c r="AN18" s="472">
        <v>217.55</v>
      </c>
      <c r="AO18" s="472">
        <v>217.53</v>
      </c>
      <c r="AP18" s="472">
        <v>0.68</v>
      </c>
      <c r="AQ18" s="472">
        <v>0.68</v>
      </c>
      <c r="AR18" s="472">
        <v>1.57</v>
      </c>
      <c r="AS18" s="472">
        <v>1.57</v>
      </c>
      <c r="AT18" s="699" t="s">
        <v>743</v>
      </c>
      <c r="AU18" s="545">
        <v>23</v>
      </c>
      <c r="AV18" s="472">
        <v>23</v>
      </c>
      <c r="AW18" s="472">
        <v>1.27</v>
      </c>
      <c r="AX18" s="472">
        <v>1.23</v>
      </c>
      <c r="AY18" s="472">
        <v>22.33</v>
      </c>
      <c r="AZ18" s="472">
        <v>22.33</v>
      </c>
      <c r="BA18" s="472">
        <v>7.0000000000000007E-2</v>
      </c>
      <c r="BB18" s="472">
        <v>0.08</v>
      </c>
      <c r="BC18" s="472">
        <v>61.23</v>
      </c>
      <c r="BD18" s="472">
        <v>61.38</v>
      </c>
      <c r="BE18" s="472">
        <v>9.25</v>
      </c>
      <c r="BF18" s="472">
        <v>9.16</v>
      </c>
      <c r="BG18" s="472">
        <v>0.52</v>
      </c>
      <c r="BH18" s="472">
        <v>0.52</v>
      </c>
      <c r="BI18" s="699" t="s">
        <v>743</v>
      </c>
      <c r="BJ18" s="995">
        <v>84.63</v>
      </c>
      <c r="BK18" s="995">
        <v>86.29</v>
      </c>
      <c r="BL18" s="995">
        <v>0.16</v>
      </c>
      <c r="BM18" s="995">
        <v>0.16</v>
      </c>
      <c r="BN18" s="995">
        <v>116.83</v>
      </c>
      <c r="BO18" s="995">
        <v>117.44</v>
      </c>
      <c r="BP18" s="995">
        <v>2.5299999999999998</v>
      </c>
      <c r="BQ18" s="995">
        <v>2.56</v>
      </c>
      <c r="BR18" s="782">
        <v>22.8</v>
      </c>
      <c r="BS18" s="782">
        <v>22.8</v>
      </c>
      <c r="BT18" s="995">
        <v>83.75</v>
      </c>
      <c r="BU18" s="995">
        <v>83.75</v>
      </c>
      <c r="BV18" s="995">
        <v>107.86</v>
      </c>
      <c r="BW18" s="782">
        <v>109.1</v>
      </c>
    </row>
    <row r="19" spans="1:75" s="81" customFormat="1" ht="10.7" customHeight="1">
      <c r="A19" s="696" t="s">
        <v>737</v>
      </c>
      <c r="B19" s="785">
        <v>60.3</v>
      </c>
      <c r="C19" s="1003">
        <v>60.56</v>
      </c>
      <c r="D19" s="1003">
        <v>83.75</v>
      </c>
      <c r="E19" s="1003">
        <v>83.75</v>
      </c>
      <c r="F19" s="1003">
        <v>222.11</v>
      </c>
      <c r="G19" s="1003">
        <v>222.15</v>
      </c>
      <c r="H19" s="1003">
        <v>64.260000000000005</v>
      </c>
      <c r="I19" s="785">
        <v>64.89</v>
      </c>
      <c r="J19" s="1003">
        <v>12.24</v>
      </c>
      <c r="K19" s="785">
        <v>12.17</v>
      </c>
      <c r="L19" s="1003">
        <v>13.08</v>
      </c>
      <c r="M19" s="1003">
        <v>13.03</v>
      </c>
      <c r="N19" s="1003">
        <v>97.58</v>
      </c>
      <c r="O19" s="1003">
        <v>97.23</v>
      </c>
      <c r="P19" s="696" t="s">
        <v>737</v>
      </c>
      <c r="Q19" s="456">
        <v>10.68</v>
      </c>
      <c r="R19" s="456">
        <v>10.7</v>
      </c>
      <c r="S19" s="456">
        <v>1.1599999999999999</v>
      </c>
      <c r="T19" s="456">
        <v>1.1599999999999999</v>
      </c>
      <c r="U19" s="456">
        <v>0.01</v>
      </c>
      <c r="V19" s="456">
        <v>0.01</v>
      </c>
      <c r="W19" s="456">
        <v>0</v>
      </c>
      <c r="X19" s="456">
        <v>0</v>
      </c>
      <c r="Y19" s="456">
        <v>0.75</v>
      </c>
      <c r="Z19" s="456">
        <v>0.74</v>
      </c>
      <c r="AA19" s="456">
        <v>276.52</v>
      </c>
      <c r="AB19" s="456">
        <v>276.17</v>
      </c>
      <c r="AC19" s="456">
        <v>20.23</v>
      </c>
      <c r="AD19" s="456">
        <v>20.239999999999998</v>
      </c>
      <c r="AE19" s="696" t="s">
        <v>737</v>
      </c>
      <c r="AF19" s="456">
        <v>0.05</v>
      </c>
      <c r="AG19" s="456">
        <v>0.05</v>
      </c>
      <c r="AH19" s="456">
        <v>0.73</v>
      </c>
      <c r="AI19" s="456">
        <v>0.72</v>
      </c>
      <c r="AJ19" s="456">
        <v>55.25</v>
      </c>
      <c r="AK19" s="456">
        <v>55.43</v>
      </c>
      <c r="AL19" s="456">
        <v>10.14</v>
      </c>
      <c r="AM19" s="456">
        <v>10.28</v>
      </c>
      <c r="AN19" s="456">
        <v>217.54</v>
      </c>
      <c r="AO19" s="456">
        <v>217.53</v>
      </c>
      <c r="AP19" s="456">
        <v>0.68</v>
      </c>
      <c r="AQ19" s="456">
        <v>0.68</v>
      </c>
      <c r="AR19" s="456">
        <v>1.55</v>
      </c>
      <c r="AS19" s="456">
        <v>1.55</v>
      </c>
      <c r="AT19" s="696" t="s">
        <v>737</v>
      </c>
      <c r="AU19" s="695">
        <v>23</v>
      </c>
      <c r="AV19" s="456">
        <v>23</v>
      </c>
      <c r="AW19" s="456">
        <v>1.24</v>
      </c>
      <c r="AX19" s="456">
        <v>1.28</v>
      </c>
      <c r="AY19" s="456">
        <v>22.33</v>
      </c>
      <c r="AZ19" s="456">
        <v>22.33</v>
      </c>
      <c r="BA19" s="456">
        <v>7.0000000000000007E-2</v>
      </c>
      <c r="BB19" s="456">
        <v>0.08</v>
      </c>
      <c r="BC19" s="456">
        <v>61.07</v>
      </c>
      <c r="BD19" s="456">
        <v>61.29</v>
      </c>
      <c r="BE19" s="456">
        <v>9.34</v>
      </c>
      <c r="BF19" s="456">
        <v>9.42</v>
      </c>
      <c r="BG19" s="456">
        <v>0.51</v>
      </c>
      <c r="BH19" s="456">
        <v>0.5</v>
      </c>
      <c r="BI19" s="696" t="s">
        <v>737</v>
      </c>
      <c r="BJ19" s="1003">
        <v>86.49</v>
      </c>
      <c r="BK19" s="1003">
        <v>85.28</v>
      </c>
      <c r="BL19" s="1003">
        <v>0.16</v>
      </c>
      <c r="BM19" s="1003">
        <v>0.16</v>
      </c>
      <c r="BN19" s="1003">
        <v>117.32</v>
      </c>
      <c r="BO19" s="1003">
        <v>116.86</v>
      </c>
      <c r="BP19" s="1003">
        <v>2.57</v>
      </c>
      <c r="BQ19" s="1003">
        <v>2.59</v>
      </c>
      <c r="BR19" s="785">
        <v>22.8</v>
      </c>
      <c r="BS19" s="785">
        <v>22.8</v>
      </c>
      <c r="BT19" s="1003">
        <v>83.75</v>
      </c>
      <c r="BU19" s="1003">
        <v>83.75</v>
      </c>
      <c r="BV19" s="1003">
        <v>109.22</v>
      </c>
      <c r="BW19" s="785">
        <v>109.13</v>
      </c>
    </row>
    <row r="20" spans="1:75" s="81" customFormat="1" ht="10.7" customHeight="1">
      <c r="A20" s="699" t="s">
        <v>744</v>
      </c>
      <c r="B20" s="782">
        <v>59.57</v>
      </c>
      <c r="C20" s="995">
        <v>59.58</v>
      </c>
      <c r="D20" s="995">
        <v>83.82</v>
      </c>
      <c r="E20" s="995">
        <v>83.85</v>
      </c>
      <c r="F20" s="995">
        <v>222.32</v>
      </c>
      <c r="G20" s="995">
        <v>222.44</v>
      </c>
      <c r="H20" s="995">
        <v>64.45</v>
      </c>
      <c r="I20" s="782">
        <v>63.97</v>
      </c>
      <c r="J20" s="995">
        <v>12.12</v>
      </c>
      <c r="K20" s="782">
        <v>12.04</v>
      </c>
      <c r="L20" s="995">
        <v>12.91</v>
      </c>
      <c r="M20" s="995">
        <v>12.75</v>
      </c>
      <c r="N20" s="995">
        <v>96.33</v>
      </c>
      <c r="O20" s="995">
        <v>95.12</v>
      </c>
      <c r="P20" s="699" t="s">
        <v>744</v>
      </c>
      <c r="Q20" s="472">
        <v>10.69</v>
      </c>
      <c r="R20" s="472">
        <v>10.69</v>
      </c>
      <c r="S20" s="472">
        <v>1.1399999999999999</v>
      </c>
      <c r="T20" s="472">
        <v>1.1399999999999999</v>
      </c>
      <c r="U20" s="472">
        <v>0.01</v>
      </c>
      <c r="V20" s="472">
        <v>0.01</v>
      </c>
      <c r="W20" s="472">
        <v>0</v>
      </c>
      <c r="X20" s="472">
        <v>0</v>
      </c>
      <c r="Y20" s="472">
        <v>0.74</v>
      </c>
      <c r="Z20" s="472">
        <v>0.74</v>
      </c>
      <c r="AA20" s="472">
        <v>276.27999999999997</v>
      </c>
      <c r="AB20" s="472">
        <v>275.95999999999998</v>
      </c>
      <c r="AC20" s="472">
        <v>20.16</v>
      </c>
      <c r="AD20" s="472">
        <v>20.05</v>
      </c>
      <c r="AE20" s="699" t="s">
        <v>744</v>
      </c>
      <c r="AF20" s="472">
        <v>0.05</v>
      </c>
      <c r="AG20" s="472">
        <v>0.05</v>
      </c>
      <c r="AH20" s="472">
        <v>0.71</v>
      </c>
      <c r="AI20" s="472">
        <v>0.71</v>
      </c>
      <c r="AJ20" s="472">
        <v>54.72</v>
      </c>
      <c r="AK20" s="472">
        <v>54.96</v>
      </c>
      <c r="AL20" s="472">
        <v>10.16</v>
      </c>
      <c r="AM20" s="472">
        <v>9.9700000000000006</v>
      </c>
      <c r="AN20" s="472">
        <v>217.71</v>
      </c>
      <c r="AO20" s="472">
        <v>217.85</v>
      </c>
      <c r="AP20" s="472">
        <v>0.64</v>
      </c>
      <c r="AQ20" s="472">
        <v>0.63</v>
      </c>
      <c r="AR20" s="472">
        <v>1.55</v>
      </c>
      <c r="AS20" s="472">
        <v>1.57</v>
      </c>
      <c r="AT20" s="699" t="s">
        <v>744</v>
      </c>
      <c r="AU20" s="545">
        <v>23.02</v>
      </c>
      <c r="AV20" s="472">
        <v>23.03</v>
      </c>
      <c r="AW20" s="472">
        <v>1.27</v>
      </c>
      <c r="AX20" s="472">
        <v>1.28</v>
      </c>
      <c r="AY20" s="472">
        <v>22.35</v>
      </c>
      <c r="AZ20" s="472">
        <v>22.35</v>
      </c>
      <c r="BA20" s="472">
        <v>7.0000000000000007E-2</v>
      </c>
      <c r="BB20" s="472">
        <v>7.0000000000000007E-2</v>
      </c>
      <c r="BC20" s="472">
        <v>60.77</v>
      </c>
      <c r="BD20" s="472">
        <v>60.54</v>
      </c>
      <c r="BE20" s="472">
        <v>9.27</v>
      </c>
      <c r="BF20" s="472">
        <v>9.14</v>
      </c>
      <c r="BG20" s="472">
        <v>0.49</v>
      </c>
      <c r="BH20" s="472">
        <v>0.48</v>
      </c>
      <c r="BI20" s="699" t="s">
        <v>744</v>
      </c>
      <c r="BJ20" s="995">
        <v>84.39</v>
      </c>
      <c r="BK20" s="995">
        <v>83.42</v>
      </c>
      <c r="BL20" s="995">
        <v>0.16</v>
      </c>
      <c r="BM20" s="995">
        <v>0.16</v>
      </c>
      <c r="BN20" s="995">
        <v>116.62</v>
      </c>
      <c r="BO20" s="995">
        <v>115.89</v>
      </c>
      <c r="BP20" s="995">
        <v>2.56</v>
      </c>
      <c r="BQ20" s="995">
        <v>2.52</v>
      </c>
      <c r="BR20" s="782">
        <v>22.82</v>
      </c>
      <c r="BS20" s="782">
        <v>22.83</v>
      </c>
      <c r="BT20" s="995">
        <v>83.82</v>
      </c>
      <c r="BU20" s="995">
        <v>83.85</v>
      </c>
      <c r="BV20" s="995">
        <v>109.23</v>
      </c>
      <c r="BW20" s="782">
        <v>106.54</v>
      </c>
    </row>
    <row r="21" spans="1:75" s="81" customFormat="1" ht="10.7" customHeight="1">
      <c r="A21" s="696" t="s">
        <v>745</v>
      </c>
      <c r="B21" s="785">
        <v>60.76</v>
      </c>
      <c r="C21" s="1003">
        <v>61.41</v>
      </c>
      <c r="D21" s="1003">
        <v>83.87</v>
      </c>
      <c r="E21" s="785">
        <v>83.9</v>
      </c>
      <c r="F21" s="1003">
        <v>222.48</v>
      </c>
      <c r="G21" s="1003">
        <v>222.58</v>
      </c>
      <c r="H21" s="785">
        <v>63.6</v>
      </c>
      <c r="I21" s="785">
        <v>63.16</v>
      </c>
      <c r="J21" s="785">
        <v>12.1</v>
      </c>
      <c r="K21" s="785">
        <v>12.1</v>
      </c>
      <c r="L21" s="1003">
        <v>12.78</v>
      </c>
      <c r="M21" s="1003">
        <v>12.81</v>
      </c>
      <c r="N21" s="1003">
        <v>95.34</v>
      </c>
      <c r="O21" s="1003">
        <v>95.59</v>
      </c>
      <c r="P21" s="696" t="s">
        <v>745</v>
      </c>
      <c r="Q21" s="456">
        <v>10.71</v>
      </c>
      <c r="R21" s="456">
        <v>10.73</v>
      </c>
      <c r="S21" s="456">
        <v>1.17</v>
      </c>
      <c r="T21" s="456">
        <v>1.2</v>
      </c>
      <c r="U21" s="456">
        <v>0.01</v>
      </c>
      <c r="V21" s="456">
        <v>0.01</v>
      </c>
      <c r="W21" s="456">
        <v>0</v>
      </c>
      <c r="X21" s="456">
        <v>0</v>
      </c>
      <c r="Y21" s="456">
        <v>0.74</v>
      </c>
      <c r="Z21" s="456">
        <v>0.74</v>
      </c>
      <c r="AA21" s="456">
        <v>275.87</v>
      </c>
      <c r="AB21" s="456">
        <v>275.67</v>
      </c>
      <c r="AC21" s="456">
        <v>20.04</v>
      </c>
      <c r="AD21" s="456">
        <v>20.02</v>
      </c>
      <c r="AE21" s="696" t="s">
        <v>745</v>
      </c>
      <c r="AF21" s="456">
        <v>0.05</v>
      </c>
      <c r="AG21" s="456">
        <v>0.05</v>
      </c>
      <c r="AH21" s="456">
        <v>0.72</v>
      </c>
      <c r="AI21" s="456">
        <v>0.74</v>
      </c>
      <c r="AJ21" s="456">
        <v>56.76</v>
      </c>
      <c r="AK21" s="456">
        <v>57.54</v>
      </c>
      <c r="AL21" s="456">
        <v>9.9</v>
      </c>
      <c r="AM21" s="456">
        <v>9.83</v>
      </c>
      <c r="AN21" s="456">
        <v>217.85</v>
      </c>
      <c r="AO21" s="456">
        <v>217.92</v>
      </c>
      <c r="AP21" s="456">
        <v>0.63</v>
      </c>
      <c r="AQ21" s="456">
        <v>0.62</v>
      </c>
      <c r="AR21" s="456">
        <v>1.59</v>
      </c>
      <c r="AS21" s="456">
        <v>1.6</v>
      </c>
      <c r="AT21" s="696" t="s">
        <v>745</v>
      </c>
      <c r="AU21" s="695">
        <v>23.03</v>
      </c>
      <c r="AV21" s="456">
        <v>23.04</v>
      </c>
      <c r="AW21" s="456">
        <v>1.26</v>
      </c>
      <c r="AX21" s="456">
        <v>1.25</v>
      </c>
      <c r="AY21" s="456">
        <v>22.36</v>
      </c>
      <c r="AZ21" s="456">
        <v>22.36</v>
      </c>
      <c r="BA21" s="456">
        <v>7.0000000000000007E-2</v>
      </c>
      <c r="BB21" s="456">
        <v>7.0000000000000007E-2</v>
      </c>
      <c r="BC21" s="456">
        <v>60.97</v>
      </c>
      <c r="BD21" s="456">
        <v>61.23</v>
      </c>
      <c r="BE21" s="456">
        <v>9.26</v>
      </c>
      <c r="BF21" s="456">
        <v>9.2899999999999991</v>
      </c>
      <c r="BG21" s="456">
        <v>0.47</v>
      </c>
      <c r="BH21" s="456">
        <v>0.47</v>
      </c>
      <c r="BI21" s="696" t="s">
        <v>745</v>
      </c>
      <c r="BJ21" s="1003">
        <v>83.77</v>
      </c>
      <c r="BK21" s="1003">
        <v>84.25</v>
      </c>
      <c r="BL21" s="1003">
        <v>0.16</v>
      </c>
      <c r="BM21" s="1003">
        <v>0.16</v>
      </c>
      <c r="BN21" s="1003">
        <v>116.13</v>
      </c>
      <c r="BO21" s="1003">
        <v>115.76</v>
      </c>
      <c r="BP21" s="1003">
        <v>2.54</v>
      </c>
      <c r="BQ21" s="1003">
        <v>2.5499999999999998</v>
      </c>
      <c r="BR21" s="785">
        <v>22.83</v>
      </c>
      <c r="BS21" s="785">
        <v>22.84</v>
      </c>
      <c r="BT21" s="1003">
        <v>83.87</v>
      </c>
      <c r="BU21" s="785">
        <v>83.9</v>
      </c>
      <c r="BV21" s="1003">
        <v>108.22</v>
      </c>
      <c r="BW21" s="785">
        <v>107.35</v>
      </c>
    </row>
    <row r="22" spans="1:75" s="81" customFormat="1" ht="10.7" customHeight="1">
      <c r="A22" s="699" t="s">
        <v>738</v>
      </c>
      <c r="B22" s="782">
        <v>60.14</v>
      </c>
      <c r="C22" s="995">
        <v>59.09</v>
      </c>
      <c r="D22" s="995">
        <v>83.9</v>
      </c>
      <c r="E22" s="782">
        <v>83.9</v>
      </c>
      <c r="F22" s="995">
        <v>222.56</v>
      </c>
      <c r="G22" s="995">
        <v>222.55</v>
      </c>
      <c r="H22" s="782">
        <v>62.53</v>
      </c>
      <c r="I22" s="782">
        <v>61.51</v>
      </c>
      <c r="J22" s="782">
        <v>12.18</v>
      </c>
      <c r="K22" s="782">
        <v>12.22</v>
      </c>
      <c r="L22" s="995">
        <v>12.77</v>
      </c>
      <c r="M22" s="995">
        <v>12.86</v>
      </c>
      <c r="N22" s="995">
        <v>95.33</v>
      </c>
      <c r="O22" s="995">
        <v>95.96</v>
      </c>
      <c r="P22" s="699" t="s">
        <v>738</v>
      </c>
      <c r="Q22" s="472">
        <v>10.73</v>
      </c>
      <c r="R22" s="472">
        <v>10.71</v>
      </c>
      <c r="S22" s="472">
        <v>1.18</v>
      </c>
      <c r="T22" s="472">
        <v>1.2</v>
      </c>
      <c r="U22" s="472">
        <v>0.01</v>
      </c>
      <c r="V22" s="472">
        <v>0.01</v>
      </c>
      <c r="W22" s="472">
        <v>0</v>
      </c>
      <c r="X22" s="472">
        <v>0</v>
      </c>
      <c r="Y22" s="472">
        <v>0.75</v>
      </c>
      <c r="Z22" s="472">
        <v>0.76</v>
      </c>
      <c r="AA22" s="472">
        <v>275.93</v>
      </c>
      <c r="AB22" s="472">
        <v>276.08</v>
      </c>
      <c r="AC22" s="472">
        <v>20.100000000000001</v>
      </c>
      <c r="AD22" s="472">
        <v>20.27</v>
      </c>
      <c r="AE22" s="699" t="s">
        <v>738</v>
      </c>
      <c r="AF22" s="472">
        <v>0.05</v>
      </c>
      <c r="AG22" s="472">
        <v>0.05</v>
      </c>
      <c r="AH22" s="472">
        <v>0.74</v>
      </c>
      <c r="AI22" s="472">
        <v>0.75</v>
      </c>
      <c r="AJ22" s="472">
        <v>57.09</v>
      </c>
      <c r="AK22" s="472">
        <v>56.33</v>
      </c>
      <c r="AL22" s="472">
        <v>9.73</v>
      </c>
      <c r="AM22" s="472">
        <v>9.6300000000000008</v>
      </c>
      <c r="AN22" s="472">
        <v>217.92</v>
      </c>
      <c r="AO22" s="472">
        <v>217.92</v>
      </c>
      <c r="AP22" s="472">
        <v>0.6</v>
      </c>
      <c r="AQ22" s="472">
        <v>0.6</v>
      </c>
      <c r="AR22" s="472">
        <v>1.59</v>
      </c>
      <c r="AS22" s="472">
        <v>1.6</v>
      </c>
      <c r="AT22" s="699" t="s">
        <v>738</v>
      </c>
      <c r="AU22" s="545">
        <v>23.04</v>
      </c>
      <c r="AV22" s="472">
        <v>23.04</v>
      </c>
      <c r="AW22" s="472">
        <v>1.25</v>
      </c>
      <c r="AX22" s="472">
        <v>1.22</v>
      </c>
      <c r="AY22" s="472">
        <v>22.36</v>
      </c>
      <c r="AZ22" s="472">
        <v>22.36</v>
      </c>
      <c r="BA22" s="472">
        <v>7.0000000000000007E-2</v>
      </c>
      <c r="BB22" s="472">
        <v>0.08</v>
      </c>
      <c r="BC22" s="472">
        <v>61.16</v>
      </c>
      <c r="BD22" s="472">
        <v>61.4</v>
      </c>
      <c r="BE22" s="472">
        <v>9.27</v>
      </c>
      <c r="BF22" s="472">
        <v>9.36</v>
      </c>
      <c r="BG22" s="472">
        <v>0.47</v>
      </c>
      <c r="BH22" s="472">
        <v>0.46</v>
      </c>
      <c r="BI22" s="699" t="s">
        <v>738</v>
      </c>
      <c r="BJ22" s="995">
        <v>84.42</v>
      </c>
      <c r="BK22" s="995">
        <v>85.24</v>
      </c>
      <c r="BL22" s="995">
        <v>0.16</v>
      </c>
      <c r="BM22" s="995">
        <v>0.16</v>
      </c>
      <c r="BN22" s="995">
        <v>116.27</v>
      </c>
      <c r="BO22" s="995">
        <v>116.69</v>
      </c>
      <c r="BP22" s="995">
        <v>2.56</v>
      </c>
      <c r="BQ22" s="995">
        <v>2.58</v>
      </c>
      <c r="BR22" s="782">
        <v>22.84</v>
      </c>
      <c r="BS22" s="782">
        <v>22.84</v>
      </c>
      <c r="BT22" s="995">
        <v>83.9</v>
      </c>
      <c r="BU22" s="782">
        <v>83.9</v>
      </c>
      <c r="BV22" s="995">
        <v>106.36</v>
      </c>
      <c r="BW22" s="782">
        <v>106.61</v>
      </c>
    </row>
    <row r="23" spans="1:75" s="81" customFormat="1" ht="10.7" customHeight="1">
      <c r="A23" s="696" t="s">
        <v>746</v>
      </c>
      <c r="B23" s="785">
        <v>59.98</v>
      </c>
      <c r="C23" s="1003">
        <v>60.84</v>
      </c>
      <c r="D23" s="1003">
        <v>83.94</v>
      </c>
      <c r="E23" s="785">
        <v>83.95</v>
      </c>
      <c r="F23" s="1003">
        <v>222.65</v>
      </c>
      <c r="G23" s="1003">
        <v>222.68</v>
      </c>
      <c r="H23" s="785">
        <v>63.01</v>
      </c>
      <c r="I23" s="785">
        <v>63.85</v>
      </c>
      <c r="J23" s="785">
        <v>12.35</v>
      </c>
      <c r="K23" s="785">
        <v>12.53</v>
      </c>
      <c r="L23" s="1003">
        <v>12.84</v>
      </c>
      <c r="M23" s="1003">
        <v>12.91</v>
      </c>
      <c r="N23" s="1003">
        <v>95.89</v>
      </c>
      <c r="O23" s="1003">
        <v>96.36</v>
      </c>
      <c r="P23" s="696" t="s">
        <v>746</v>
      </c>
      <c r="Q23" s="456">
        <v>10.71</v>
      </c>
      <c r="R23" s="456">
        <v>10.7</v>
      </c>
      <c r="S23" s="456">
        <v>1.19</v>
      </c>
      <c r="T23" s="456">
        <v>1.18</v>
      </c>
      <c r="U23" s="456">
        <v>0.01</v>
      </c>
      <c r="V23" s="456">
        <v>0.01</v>
      </c>
      <c r="W23" s="456">
        <v>0</v>
      </c>
      <c r="X23" s="456">
        <v>0</v>
      </c>
      <c r="Y23" s="456">
        <v>0.77</v>
      </c>
      <c r="Z23" s="456">
        <v>0.77</v>
      </c>
      <c r="AA23" s="456">
        <v>276.87</v>
      </c>
      <c r="AB23" s="456">
        <v>276.97000000000003</v>
      </c>
      <c r="AC23" s="456">
        <v>20.39</v>
      </c>
      <c r="AD23" s="456">
        <v>20.54</v>
      </c>
      <c r="AE23" s="696" t="s">
        <v>746</v>
      </c>
      <c r="AF23" s="456">
        <v>0.05</v>
      </c>
      <c r="AG23" s="456">
        <v>0.06</v>
      </c>
      <c r="AH23" s="456">
        <v>0.74</v>
      </c>
      <c r="AI23" s="456">
        <v>0.74</v>
      </c>
      <c r="AJ23" s="456">
        <v>56.86</v>
      </c>
      <c r="AK23" s="456">
        <v>57.87</v>
      </c>
      <c r="AL23" s="456">
        <v>9.81</v>
      </c>
      <c r="AM23" s="456">
        <v>9.9600000000000009</v>
      </c>
      <c r="AN23" s="456">
        <v>218.04</v>
      </c>
      <c r="AO23" s="456">
        <v>218.05</v>
      </c>
      <c r="AP23" s="456">
        <v>0.6</v>
      </c>
      <c r="AQ23" s="456">
        <v>0.6</v>
      </c>
      <c r="AR23" s="456">
        <v>1.6</v>
      </c>
      <c r="AS23" s="456">
        <v>1.61</v>
      </c>
      <c r="AT23" s="696" t="s">
        <v>746</v>
      </c>
      <c r="AU23" s="695">
        <v>23.05</v>
      </c>
      <c r="AV23" s="456">
        <v>23.06</v>
      </c>
      <c r="AW23" s="456">
        <v>1.25</v>
      </c>
      <c r="AX23" s="456">
        <v>1.28</v>
      </c>
      <c r="AY23" s="456">
        <v>22.38</v>
      </c>
      <c r="AZ23" s="456">
        <v>22.38</v>
      </c>
      <c r="BA23" s="456">
        <v>7.0000000000000007E-2</v>
      </c>
      <c r="BB23" s="456">
        <v>0.08</v>
      </c>
      <c r="BC23" s="456">
        <v>61.86</v>
      </c>
      <c r="BD23" s="456">
        <v>62.31</v>
      </c>
      <c r="BE23" s="456">
        <v>9.35</v>
      </c>
      <c r="BF23" s="456">
        <v>9.31</v>
      </c>
      <c r="BG23" s="456">
        <v>0.46</v>
      </c>
      <c r="BH23" s="456">
        <v>0.47</v>
      </c>
      <c r="BI23" s="696" t="s">
        <v>746</v>
      </c>
      <c r="BJ23" s="1003">
        <v>84.93</v>
      </c>
      <c r="BK23" s="1003">
        <v>84.43</v>
      </c>
      <c r="BL23" s="1003">
        <v>0.16</v>
      </c>
      <c r="BM23" s="1003">
        <v>0.16</v>
      </c>
      <c r="BN23" s="1003">
        <v>116.99</v>
      </c>
      <c r="BO23" s="785">
        <v>117.3</v>
      </c>
      <c r="BP23" s="1003">
        <v>2.64</v>
      </c>
      <c r="BQ23" s="1003">
        <v>2.69</v>
      </c>
      <c r="BR23" s="785">
        <v>22.85</v>
      </c>
      <c r="BS23" s="785">
        <v>22.86</v>
      </c>
      <c r="BT23" s="1003">
        <v>83.94</v>
      </c>
      <c r="BU23" s="785">
        <v>83.95</v>
      </c>
      <c r="BV23" s="1003">
        <v>108.17</v>
      </c>
      <c r="BW23" s="785">
        <v>110.11</v>
      </c>
    </row>
    <row r="24" spans="1:75" s="81" customFormat="1" ht="10.7" customHeight="1">
      <c r="A24" s="699" t="s">
        <v>747</v>
      </c>
      <c r="B24" s="782">
        <v>60.12</v>
      </c>
      <c r="C24" s="995">
        <v>60.49</v>
      </c>
      <c r="D24" s="995">
        <v>84.04</v>
      </c>
      <c r="E24" s="782">
        <v>84.15</v>
      </c>
      <c r="F24" s="995">
        <v>222.92</v>
      </c>
      <c r="G24" s="995">
        <v>223.21</v>
      </c>
      <c r="H24" s="782">
        <v>63.67</v>
      </c>
      <c r="I24" s="782">
        <v>63.9</v>
      </c>
      <c r="J24" s="782">
        <v>12.49</v>
      </c>
      <c r="K24" s="782">
        <v>12.59</v>
      </c>
      <c r="L24" s="995">
        <v>12.78</v>
      </c>
      <c r="M24" s="995">
        <v>12.84</v>
      </c>
      <c r="N24" s="995">
        <v>95.43</v>
      </c>
      <c r="O24" s="995">
        <v>95.83</v>
      </c>
      <c r="P24" s="699" t="s">
        <v>747</v>
      </c>
      <c r="Q24" s="472">
        <v>10.71</v>
      </c>
      <c r="R24" s="472">
        <v>10.72</v>
      </c>
      <c r="S24" s="472">
        <v>1.18</v>
      </c>
      <c r="T24" s="472">
        <v>1.19</v>
      </c>
      <c r="U24" s="472">
        <v>0.01</v>
      </c>
      <c r="V24" s="472">
        <v>0.01</v>
      </c>
      <c r="W24" s="472">
        <v>0</v>
      </c>
      <c r="X24" s="472">
        <v>0</v>
      </c>
      <c r="Y24" s="472">
        <v>0.76</v>
      </c>
      <c r="Z24" s="472">
        <v>0.76</v>
      </c>
      <c r="AA24" s="472">
        <v>276.87</v>
      </c>
      <c r="AB24" s="472">
        <v>277.45</v>
      </c>
      <c r="AC24" s="472">
        <v>20.61</v>
      </c>
      <c r="AD24" s="472">
        <v>20.7</v>
      </c>
      <c r="AE24" s="699" t="s">
        <v>747</v>
      </c>
      <c r="AF24" s="472">
        <v>0.06</v>
      </c>
      <c r="AG24" s="472">
        <v>0.06</v>
      </c>
      <c r="AH24" s="472">
        <v>0.74</v>
      </c>
      <c r="AI24" s="472">
        <v>0.74</v>
      </c>
      <c r="AJ24" s="472">
        <v>57.5</v>
      </c>
      <c r="AK24" s="472">
        <v>57.96</v>
      </c>
      <c r="AL24" s="472">
        <v>9.8000000000000007</v>
      </c>
      <c r="AM24" s="472">
        <v>9.83</v>
      </c>
      <c r="AN24" s="472">
        <v>218.29</v>
      </c>
      <c r="AO24" s="472">
        <v>218.57</v>
      </c>
      <c r="AP24" s="472">
        <v>0.6</v>
      </c>
      <c r="AQ24" s="472">
        <v>0.6</v>
      </c>
      <c r="AR24" s="472">
        <v>1.61</v>
      </c>
      <c r="AS24" s="472">
        <v>1.62</v>
      </c>
      <c r="AT24" s="699" t="s">
        <v>747</v>
      </c>
      <c r="AU24" s="545">
        <v>23.08</v>
      </c>
      <c r="AV24" s="472">
        <v>23.11</v>
      </c>
      <c r="AW24" s="472">
        <v>1.28</v>
      </c>
      <c r="AX24" s="472">
        <v>1.28</v>
      </c>
      <c r="AY24" s="472">
        <v>22.41</v>
      </c>
      <c r="AZ24" s="472">
        <v>22.44</v>
      </c>
      <c r="BA24" s="472">
        <v>7.0000000000000007E-2</v>
      </c>
      <c r="BB24" s="472">
        <v>0.08</v>
      </c>
      <c r="BC24" s="472">
        <v>62.09</v>
      </c>
      <c r="BD24" s="472">
        <v>62.46</v>
      </c>
      <c r="BE24" s="472">
        <v>9.1</v>
      </c>
      <c r="BF24" s="472">
        <v>9.06</v>
      </c>
      <c r="BG24" s="472">
        <v>0.47</v>
      </c>
      <c r="BH24" s="472">
        <v>0.47</v>
      </c>
      <c r="BI24" s="699" t="s">
        <v>747</v>
      </c>
      <c r="BJ24" s="995">
        <v>83.93</v>
      </c>
      <c r="BK24" s="995">
        <v>84.17</v>
      </c>
      <c r="BL24" s="995">
        <v>0.16</v>
      </c>
      <c r="BM24" s="995">
        <v>0.16</v>
      </c>
      <c r="BN24" s="995">
        <v>116.96</v>
      </c>
      <c r="BO24" s="995">
        <v>117.38</v>
      </c>
      <c r="BP24" s="995">
        <v>2.69</v>
      </c>
      <c r="BQ24" s="995">
        <v>2.68</v>
      </c>
      <c r="BR24" s="782">
        <v>22.88</v>
      </c>
      <c r="BS24" s="782">
        <v>22.91</v>
      </c>
      <c r="BT24" s="995">
        <v>84.04</v>
      </c>
      <c r="BU24" s="782">
        <v>84.15</v>
      </c>
      <c r="BV24" s="995">
        <v>109.26</v>
      </c>
      <c r="BW24" s="782">
        <v>111.51</v>
      </c>
    </row>
    <row r="25" spans="1:75" s="224" customFormat="1" ht="10.7" customHeight="1">
      <c r="A25" s="696" t="s">
        <v>739</v>
      </c>
      <c r="B25" s="785">
        <v>59.65</v>
      </c>
      <c r="C25" s="1003">
        <v>59.79</v>
      </c>
      <c r="D25" s="1003">
        <v>84.21</v>
      </c>
      <c r="E25" s="785">
        <v>84.25</v>
      </c>
      <c r="F25" s="1003">
        <v>223.36</v>
      </c>
      <c r="G25" s="1003">
        <v>223.47</v>
      </c>
      <c r="H25" s="785">
        <v>63.05</v>
      </c>
      <c r="I25" s="785">
        <v>63.13</v>
      </c>
      <c r="J25" s="785">
        <v>12.55</v>
      </c>
      <c r="K25" s="785">
        <v>12.51</v>
      </c>
      <c r="L25" s="1003">
        <v>12.76</v>
      </c>
      <c r="M25" s="1003">
        <v>12.66</v>
      </c>
      <c r="N25" s="1003">
        <v>95.27</v>
      </c>
      <c r="O25" s="1003">
        <v>94.51</v>
      </c>
      <c r="P25" s="696" t="s">
        <v>739</v>
      </c>
      <c r="Q25" s="456">
        <v>10.73</v>
      </c>
      <c r="R25" s="456">
        <v>10.73</v>
      </c>
      <c r="S25" s="456">
        <v>1.21</v>
      </c>
      <c r="T25" s="456">
        <v>1.22</v>
      </c>
      <c r="U25" s="456">
        <v>0.01</v>
      </c>
      <c r="V25" s="456">
        <v>0.01</v>
      </c>
      <c r="W25" s="456">
        <v>0</v>
      </c>
      <c r="X25" s="456">
        <v>0</v>
      </c>
      <c r="Y25" s="456">
        <v>0.76</v>
      </c>
      <c r="Z25" s="456">
        <v>0.76</v>
      </c>
      <c r="AA25" s="456">
        <v>277.27</v>
      </c>
      <c r="AB25" s="456">
        <v>276.91000000000003</v>
      </c>
      <c r="AC25" s="456">
        <v>20.65</v>
      </c>
      <c r="AD25" s="456">
        <v>20.64</v>
      </c>
      <c r="AE25" s="696" t="s">
        <v>739</v>
      </c>
      <c r="AF25" s="456">
        <v>0.06</v>
      </c>
      <c r="AG25" s="456">
        <v>0.06</v>
      </c>
      <c r="AH25" s="456">
        <v>0.74</v>
      </c>
      <c r="AI25" s="456">
        <v>0.74</v>
      </c>
      <c r="AJ25" s="456">
        <v>57.55</v>
      </c>
      <c r="AK25" s="456">
        <v>57.32</v>
      </c>
      <c r="AL25" s="456">
        <v>9.8000000000000007</v>
      </c>
      <c r="AM25" s="456">
        <v>9.77</v>
      </c>
      <c r="AN25" s="456">
        <v>218.72</v>
      </c>
      <c r="AO25" s="456">
        <v>218.83</v>
      </c>
      <c r="AP25" s="456">
        <v>0.6</v>
      </c>
      <c r="AQ25" s="456">
        <v>0.6</v>
      </c>
      <c r="AR25" s="456">
        <v>1.6</v>
      </c>
      <c r="AS25" s="456">
        <v>1.6</v>
      </c>
      <c r="AT25" s="696" t="s">
        <v>739</v>
      </c>
      <c r="AU25" s="695">
        <v>23.12</v>
      </c>
      <c r="AV25" s="456">
        <v>23.14</v>
      </c>
      <c r="AW25" s="456">
        <v>1.29</v>
      </c>
      <c r="AX25" s="456">
        <v>1.28</v>
      </c>
      <c r="AY25" s="456">
        <v>22.45</v>
      </c>
      <c r="AZ25" s="456">
        <v>22.46</v>
      </c>
      <c r="BA25" s="456">
        <v>7.0000000000000007E-2</v>
      </c>
      <c r="BB25" s="456">
        <v>7.0000000000000007E-2</v>
      </c>
      <c r="BC25" s="456">
        <v>62.2</v>
      </c>
      <c r="BD25" s="456">
        <v>62.14</v>
      </c>
      <c r="BE25" s="456">
        <v>9.07</v>
      </c>
      <c r="BF25" s="456">
        <v>9.06</v>
      </c>
      <c r="BG25" s="456">
        <v>0.47</v>
      </c>
      <c r="BH25" s="456">
        <v>0.48</v>
      </c>
      <c r="BI25" s="696" t="s">
        <v>739</v>
      </c>
      <c r="BJ25" s="785">
        <v>84.2</v>
      </c>
      <c r="BK25" s="1003">
        <v>84.64</v>
      </c>
      <c r="BL25" s="1003">
        <v>0.16</v>
      </c>
      <c r="BM25" s="1003">
        <v>0.16</v>
      </c>
      <c r="BN25" s="1003">
        <v>117.22</v>
      </c>
      <c r="BO25" s="1003">
        <v>116.97</v>
      </c>
      <c r="BP25" s="1003">
        <v>2.65</v>
      </c>
      <c r="BQ25" s="1003">
        <v>2.66</v>
      </c>
      <c r="BR25" s="785">
        <v>22.93</v>
      </c>
      <c r="BS25" s="785">
        <v>22.94</v>
      </c>
      <c r="BT25" s="1003">
        <v>84.21</v>
      </c>
      <c r="BU25" s="785">
        <v>84.25</v>
      </c>
      <c r="BV25" s="1003">
        <v>111.12</v>
      </c>
      <c r="BW25" s="785">
        <v>109.8</v>
      </c>
    </row>
    <row r="26" spans="1:75" s="224" customFormat="1" ht="10.7" customHeight="1">
      <c r="A26" s="699" t="s">
        <v>748</v>
      </c>
      <c r="B26" s="782">
        <v>60.03</v>
      </c>
      <c r="C26" s="782">
        <v>59.6</v>
      </c>
      <c r="D26" s="995">
        <v>84.33</v>
      </c>
      <c r="E26" s="782">
        <v>84.45</v>
      </c>
      <c r="F26" s="995">
        <v>223.67</v>
      </c>
      <c r="G26" s="995">
        <v>224.01</v>
      </c>
      <c r="H26" s="782">
        <v>63.06</v>
      </c>
      <c r="I26" s="782">
        <v>62.75</v>
      </c>
      <c r="J26" s="782">
        <v>12.56</v>
      </c>
      <c r="K26" s="782">
        <v>12.55</v>
      </c>
      <c r="L26" s="995">
        <v>12.69</v>
      </c>
      <c r="M26" s="995">
        <v>12.65</v>
      </c>
      <c r="N26" s="995">
        <v>94.77</v>
      </c>
      <c r="O26" s="995">
        <v>94.47</v>
      </c>
      <c r="P26" s="699" t="s">
        <v>748</v>
      </c>
      <c r="Q26" s="472">
        <v>10.75</v>
      </c>
      <c r="R26" s="472">
        <v>10.77</v>
      </c>
      <c r="S26" s="472">
        <v>1.22</v>
      </c>
      <c r="T26" s="472">
        <v>1.21</v>
      </c>
      <c r="U26" s="472">
        <v>0.01</v>
      </c>
      <c r="V26" s="472">
        <v>0.01</v>
      </c>
      <c r="W26" s="472">
        <v>0</v>
      </c>
      <c r="X26" s="472">
        <v>0</v>
      </c>
      <c r="Y26" s="472">
        <v>0.76</v>
      </c>
      <c r="Z26" s="472">
        <v>0.76</v>
      </c>
      <c r="AA26" s="472">
        <v>277.14</v>
      </c>
      <c r="AB26" s="472">
        <v>277.39</v>
      </c>
      <c r="AC26" s="472">
        <v>20.5</v>
      </c>
      <c r="AD26" s="472">
        <v>20.420000000000002</v>
      </c>
      <c r="AE26" s="699" t="s">
        <v>748</v>
      </c>
      <c r="AF26" s="472">
        <v>0.06</v>
      </c>
      <c r="AG26" s="472">
        <v>0.06</v>
      </c>
      <c r="AH26" s="472">
        <v>0.74</v>
      </c>
      <c r="AI26" s="472">
        <v>0.74</v>
      </c>
      <c r="AJ26" s="472">
        <v>56.7</v>
      </c>
      <c r="AK26" s="472">
        <v>56.32</v>
      </c>
      <c r="AL26" s="472">
        <v>9.85</v>
      </c>
      <c r="AM26" s="472">
        <v>9.75</v>
      </c>
      <c r="AN26" s="472">
        <v>219.05</v>
      </c>
      <c r="AO26" s="472">
        <v>219.35</v>
      </c>
      <c r="AP26" s="472">
        <v>0.6</v>
      </c>
      <c r="AQ26" s="472">
        <v>0.6</v>
      </c>
      <c r="AR26" s="472">
        <v>1.62</v>
      </c>
      <c r="AS26" s="472">
        <v>1.62</v>
      </c>
      <c r="AT26" s="699" t="s">
        <v>748</v>
      </c>
      <c r="AU26" s="545">
        <v>23.16</v>
      </c>
      <c r="AV26" s="472">
        <v>23.19</v>
      </c>
      <c r="AW26" s="472">
        <v>1.31</v>
      </c>
      <c r="AX26" s="472">
        <v>1.31</v>
      </c>
      <c r="AY26" s="472">
        <v>22.49</v>
      </c>
      <c r="AZ26" s="472">
        <v>22.52</v>
      </c>
      <c r="BA26" s="472">
        <v>7.0000000000000007E-2</v>
      </c>
      <c r="BB26" s="472">
        <v>7.0000000000000007E-2</v>
      </c>
      <c r="BC26" s="472">
        <v>62.21</v>
      </c>
      <c r="BD26" s="472">
        <v>62.02</v>
      </c>
      <c r="BE26" s="472">
        <v>9.0500000000000007</v>
      </c>
      <c r="BF26" s="472">
        <v>8.8800000000000008</v>
      </c>
      <c r="BG26" s="472">
        <v>0.48</v>
      </c>
      <c r="BH26" s="472">
        <v>0.48</v>
      </c>
      <c r="BI26" s="699" t="s">
        <v>748</v>
      </c>
      <c r="BJ26" s="782">
        <v>83.71</v>
      </c>
      <c r="BK26" s="995">
        <v>82.82</v>
      </c>
      <c r="BL26" s="995">
        <v>0.16</v>
      </c>
      <c r="BM26" s="995">
        <v>0.16</v>
      </c>
      <c r="BN26" s="995">
        <v>116.99</v>
      </c>
      <c r="BO26" s="995">
        <v>116.74</v>
      </c>
      <c r="BP26" s="995">
        <v>2.65</v>
      </c>
      <c r="BQ26" s="995">
        <v>2.65</v>
      </c>
      <c r="BR26" s="782">
        <v>22.96</v>
      </c>
      <c r="BS26" s="782">
        <v>22.99</v>
      </c>
      <c r="BT26" s="995">
        <v>84.33</v>
      </c>
      <c r="BU26" s="782">
        <v>84.45</v>
      </c>
      <c r="BV26" s="995">
        <v>109.91</v>
      </c>
      <c r="BW26" s="782">
        <v>109.26</v>
      </c>
    </row>
    <row r="27" spans="1:75" s="224" customFormat="1" ht="10.7" customHeight="1">
      <c r="A27" s="696" t="s">
        <v>749</v>
      </c>
      <c r="B27" s="785">
        <v>58.7</v>
      </c>
      <c r="C27" s="1003">
        <v>58.45</v>
      </c>
      <c r="D27" s="1003">
        <v>84.49</v>
      </c>
      <c r="E27" s="785">
        <v>84.5</v>
      </c>
      <c r="F27" s="1003">
        <v>224.11</v>
      </c>
      <c r="G27" s="1003">
        <v>224.14</v>
      </c>
      <c r="H27" s="785">
        <v>62.82</v>
      </c>
      <c r="I27" s="785">
        <v>62.5</v>
      </c>
      <c r="J27" s="785">
        <v>12.36</v>
      </c>
      <c r="K27" s="785">
        <v>12.25</v>
      </c>
      <c r="L27" s="1003">
        <v>12.66</v>
      </c>
      <c r="M27" s="785">
        <v>12.6</v>
      </c>
      <c r="N27" s="1003">
        <v>94.52</v>
      </c>
      <c r="O27" s="1003">
        <v>94.06</v>
      </c>
      <c r="P27" s="696" t="s">
        <v>749</v>
      </c>
      <c r="Q27" s="456">
        <v>10.77</v>
      </c>
      <c r="R27" s="456">
        <v>10.77</v>
      </c>
      <c r="S27" s="456">
        <v>1.21</v>
      </c>
      <c r="T27" s="456">
        <v>1.21</v>
      </c>
      <c r="U27" s="456">
        <v>0.01</v>
      </c>
      <c r="V27" s="456">
        <v>0.01</v>
      </c>
      <c r="W27" s="456">
        <v>0</v>
      </c>
      <c r="X27" s="456">
        <v>0</v>
      </c>
      <c r="Y27" s="456">
        <v>0.77</v>
      </c>
      <c r="Z27" s="456">
        <v>0.77</v>
      </c>
      <c r="AA27" s="456">
        <v>277.7</v>
      </c>
      <c r="AB27" s="456">
        <v>277.64</v>
      </c>
      <c r="AC27" s="456">
        <v>20.260000000000002</v>
      </c>
      <c r="AD27" s="456">
        <v>20.14</v>
      </c>
      <c r="AE27" s="696" t="s">
        <v>749</v>
      </c>
      <c r="AF27" s="456">
        <v>0.06</v>
      </c>
      <c r="AG27" s="456">
        <v>0.06</v>
      </c>
      <c r="AH27" s="456">
        <v>0.74</v>
      </c>
      <c r="AI27" s="456">
        <v>0.74</v>
      </c>
      <c r="AJ27" s="456">
        <v>55.46</v>
      </c>
      <c r="AK27" s="456">
        <v>55.02</v>
      </c>
      <c r="AL27" s="456">
        <v>9.67</v>
      </c>
      <c r="AM27" s="456">
        <v>9.65</v>
      </c>
      <c r="AN27" s="456">
        <v>219.46</v>
      </c>
      <c r="AO27" s="456">
        <v>219.48</v>
      </c>
      <c r="AP27" s="456">
        <v>0.57999999999999996</v>
      </c>
      <c r="AQ27" s="456">
        <v>0.56000000000000005</v>
      </c>
      <c r="AR27" s="456">
        <v>1.62</v>
      </c>
      <c r="AS27" s="456">
        <v>1.62</v>
      </c>
      <c r="AT27" s="696" t="s">
        <v>749</v>
      </c>
      <c r="AU27" s="695">
        <v>23.21</v>
      </c>
      <c r="AV27" s="456">
        <v>23.21</v>
      </c>
      <c r="AW27" s="456">
        <v>1.3</v>
      </c>
      <c r="AX27" s="456">
        <v>1.3</v>
      </c>
      <c r="AY27" s="456">
        <v>22.53</v>
      </c>
      <c r="AZ27" s="456">
        <v>22.53</v>
      </c>
      <c r="BA27" s="456">
        <v>7.0000000000000007E-2</v>
      </c>
      <c r="BB27" s="456">
        <v>7.0000000000000007E-2</v>
      </c>
      <c r="BC27" s="456">
        <v>61.65</v>
      </c>
      <c r="BD27" s="456">
        <v>61.18</v>
      </c>
      <c r="BE27" s="456">
        <v>8.81</v>
      </c>
      <c r="BF27" s="456">
        <v>8.85</v>
      </c>
      <c r="BG27" s="456">
        <v>0.48</v>
      </c>
      <c r="BH27" s="456">
        <v>0.48</v>
      </c>
      <c r="BI27" s="696" t="s">
        <v>749</v>
      </c>
      <c r="BJ27" s="785">
        <v>83.55</v>
      </c>
      <c r="BK27" s="1003">
        <v>83.85</v>
      </c>
      <c r="BL27" s="1003">
        <v>0.16</v>
      </c>
      <c r="BM27" s="1003">
        <v>0.16</v>
      </c>
      <c r="BN27" s="1003">
        <v>116.76</v>
      </c>
      <c r="BO27" s="1003">
        <v>116.47</v>
      </c>
      <c r="BP27" s="1003">
        <v>2.66</v>
      </c>
      <c r="BQ27" s="1003">
        <v>2.66</v>
      </c>
      <c r="BR27" s="785">
        <v>23</v>
      </c>
      <c r="BS27" s="785">
        <v>23</v>
      </c>
      <c r="BT27" s="1003">
        <v>84.49</v>
      </c>
      <c r="BU27" s="785">
        <v>84.5</v>
      </c>
      <c r="BV27" s="1003">
        <v>108.67</v>
      </c>
      <c r="BW27" s="785">
        <v>106.7</v>
      </c>
    </row>
    <row r="28" spans="1:75" s="224" customFormat="1" ht="10.7" customHeight="1">
      <c r="A28" s="699" t="s">
        <v>740</v>
      </c>
      <c r="B28" s="782">
        <v>58.63</v>
      </c>
      <c r="C28" s="995">
        <v>59.32</v>
      </c>
      <c r="D28" s="782">
        <v>84.5</v>
      </c>
      <c r="E28" s="782">
        <v>84.5</v>
      </c>
      <c r="F28" s="995">
        <v>224.14</v>
      </c>
      <c r="G28" s="995">
        <v>224.14</v>
      </c>
      <c r="H28" s="782">
        <v>63.46</v>
      </c>
      <c r="I28" s="782">
        <v>64.540000000000006</v>
      </c>
      <c r="J28" s="782">
        <v>12.28</v>
      </c>
      <c r="K28" s="782">
        <v>12.29</v>
      </c>
      <c r="L28" s="995">
        <v>12.76</v>
      </c>
      <c r="M28" s="782">
        <v>12.87</v>
      </c>
      <c r="N28" s="782">
        <v>95.3</v>
      </c>
      <c r="O28" s="995">
        <v>96.08</v>
      </c>
      <c r="P28" s="699" t="s">
        <v>740</v>
      </c>
      <c r="Q28" s="472">
        <v>10.79</v>
      </c>
      <c r="R28" s="472">
        <v>10.82</v>
      </c>
      <c r="S28" s="472">
        <v>1.22</v>
      </c>
      <c r="T28" s="472">
        <v>1.23</v>
      </c>
      <c r="U28" s="472">
        <v>0.01</v>
      </c>
      <c r="V28" s="472">
        <v>0.01</v>
      </c>
      <c r="W28" s="472">
        <v>0</v>
      </c>
      <c r="X28" s="472">
        <v>0</v>
      </c>
      <c r="Y28" s="472">
        <v>0.78</v>
      </c>
      <c r="Z28" s="472">
        <v>0.78</v>
      </c>
      <c r="AA28" s="472">
        <v>278.02</v>
      </c>
      <c r="AB28" s="472">
        <v>278.45999999999998</v>
      </c>
      <c r="AC28" s="472">
        <v>20.3</v>
      </c>
      <c r="AD28" s="472">
        <v>20.45</v>
      </c>
      <c r="AE28" s="699" t="s">
        <v>740</v>
      </c>
      <c r="AF28" s="472">
        <v>0.06</v>
      </c>
      <c r="AG28" s="472">
        <v>0.06</v>
      </c>
      <c r="AH28" s="472">
        <v>0.74</v>
      </c>
      <c r="AI28" s="472">
        <v>0.74</v>
      </c>
      <c r="AJ28" s="472">
        <v>55.64</v>
      </c>
      <c r="AK28" s="472">
        <v>56.78</v>
      </c>
      <c r="AL28" s="472">
        <v>9.7799999999999994</v>
      </c>
      <c r="AM28" s="472">
        <v>9.9</v>
      </c>
      <c r="AN28" s="472">
        <v>219.49</v>
      </c>
      <c r="AO28" s="472">
        <v>219.48</v>
      </c>
      <c r="AP28" s="472">
        <v>0.55000000000000004</v>
      </c>
      <c r="AQ28" s="472">
        <v>0.52</v>
      </c>
      <c r="AR28" s="472">
        <v>1.63</v>
      </c>
      <c r="AS28" s="472">
        <v>1.65</v>
      </c>
      <c r="AT28" s="699" t="s">
        <v>740</v>
      </c>
      <c r="AU28" s="545">
        <v>23.21</v>
      </c>
      <c r="AV28" s="472">
        <v>23.21</v>
      </c>
      <c r="AW28" s="472">
        <v>1.32</v>
      </c>
      <c r="AX28" s="472">
        <v>1.34</v>
      </c>
      <c r="AY28" s="472">
        <v>22.53</v>
      </c>
      <c r="AZ28" s="472">
        <v>22.53</v>
      </c>
      <c r="BA28" s="472">
        <v>7.0000000000000007E-2</v>
      </c>
      <c r="BB28" s="472">
        <v>7.0000000000000007E-2</v>
      </c>
      <c r="BC28" s="472">
        <v>61.94</v>
      </c>
      <c r="BD28" s="472">
        <v>62.47</v>
      </c>
      <c r="BE28" s="472">
        <v>8.98</v>
      </c>
      <c r="BF28" s="472">
        <v>9.1</v>
      </c>
      <c r="BG28" s="472">
        <v>0.48</v>
      </c>
      <c r="BH28" s="472">
        <v>0.48</v>
      </c>
      <c r="BI28" s="699" t="s">
        <v>740</v>
      </c>
      <c r="BJ28" s="782">
        <v>85.33</v>
      </c>
      <c r="BK28" s="995">
        <v>86.56</v>
      </c>
      <c r="BL28" s="995">
        <v>0.16</v>
      </c>
      <c r="BM28" s="995">
        <v>0.16</v>
      </c>
      <c r="BN28" s="995">
        <v>116.96</v>
      </c>
      <c r="BO28" s="995">
        <v>117.48</v>
      </c>
      <c r="BP28" s="995">
        <v>2.71</v>
      </c>
      <c r="BQ28" s="995">
        <v>2.75</v>
      </c>
      <c r="BR28" s="782">
        <v>23</v>
      </c>
      <c r="BS28" s="782">
        <v>23</v>
      </c>
      <c r="BT28" s="782">
        <v>84.5</v>
      </c>
      <c r="BU28" s="782">
        <v>84.5</v>
      </c>
      <c r="BV28" s="995">
        <v>107.05</v>
      </c>
      <c r="BW28" s="782">
        <v>107.27</v>
      </c>
    </row>
    <row r="29" spans="1:75" s="224" customFormat="1" ht="10.7" customHeight="1">
      <c r="A29" s="707" t="s">
        <v>2017</v>
      </c>
      <c r="B29" s="922">
        <f>AVERAGE(B30:B41)</f>
        <v>56.938333333333333</v>
      </c>
      <c r="C29" s="808">
        <f>C41</f>
        <v>58.28</v>
      </c>
      <c r="D29" s="922">
        <v>84.781146000000007</v>
      </c>
      <c r="E29" s="808">
        <f>E41</f>
        <v>84.9</v>
      </c>
      <c r="F29" s="922">
        <v>224.80451299999999</v>
      </c>
      <c r="G29" s="808">
        <f>G41</f>
        <v>224.84</v>
      </c>
      <c r="H29" s="808">
        <v>63.281075000000001</v>
      </c>
      <c r="I29" s="808">
        <f t="shared" ref="I29" si="0">I41</f>
        <v>62.16</v>
      </c>
      <c r="J29" s="922">
        <v>12.082319</v>
      </c>
      <c r="K29" s="808">
        <f>K41</f>
        <v>11.99</v>
      </c>
      <c r="L29" s="922">
        <v>12.557464</v>
      </c>
      <c r="M29" s="808">
        <f>M41</f>
        <v>12.81</v>
      </c>
      <c r="N29" s="922">
        <v>93.728005999999993</v>
      </c>
      <c r="O29" s="808">
        <f>O41</f>
        <v>95.44</v>
      </c>
      <c r="P29" s="707" t="s">
        <v>2017</v>
      </c>
      <c r="Q29" s="808">
        <v>10.875048</v>
      </c>
      <c r="R29" s="808">
        <f>R41</f>
        <v>10.95</v>
      </c>
      <c r="S29" s="808">
        <v>1.1732959999999999</v>
      </c>
      <c r="T29" s="808">
        <f>T41</f>
        <v>1.1200000000000001</v>
      </c>
      <c r="U29" s="808">
        <v>5.947E-3</v>
      </c>
      <c r="V29" s="808">
        <f>V41</f>
        <v>0.01</v>
      </c>
      <c r="W29" s="808">
        <v>2.019E-3</v>
      </c>
      <c r="X29" s="808">
        <f>X41</f>
        <v>0</v>
      </c>
      <c r="Y29" s="808">
        <v>0.78395800000000004</v>
      </c>
      <c r="Z29" s="808">
        <f>Z41</f>
        <v>0.79</v>
      </c>
      <c r="AA29" s="808">
        <v>277.50460600000002</v>
      </c>
      <c r="AB29" s="808">
        <f>AB41</f>
        <v>275.87</v>
      </c>
      <c r="AC29" s="808">
        <v>20.179838</v>
      </c>
      <c r="AD29" s="808">
        <f>AD41</f>
        <v>19.84</v>
      </c>
      <c r="AE29" s="707" t="s">
        <v>2017</v>
      </c>
      <c r="AF29" s="808">
        <v>5.7696999999999998E-2</v>
      </c>
      <c r="AG29" s="808">
        <f>AG41</f>
        <v>0.06</v>
      </c>
      <c r="AH29" s="808">
        <v>0.73525200000000002</v>
      </c>
      <c r="AI29" s="808">
        <f>AI41</f>
        <v>0.74</v>
      </c>
      <c r="AJ29" s="808">
        <v>54.053877999999997</v>
      </c>
      <c r="AK29" s="808">
        <f>AK41</f>
        <v>54.51</v>
      </c>
      <c r="AL29" s="808">
        <v>9.1142979999999998</v>
      </c>
      <c r="AM29" s="808">
        <f>AM41</f>
        <v>8.7799999999999994</v>
      </c>
      <c r="AN29" s="808">
        <v>220.280869</v>
      </c>
      <c r="AO29" s="808">
        <f>AO41</f>
        <v>220.52</v>
      </c>
      <c r="AP29" s="808">
        <v>0.53694600000000003</v>
      </c>
      <c r="AQ29" s="808">
        <f>AQ41</f>
        <v>0.51</v>
      </c>
      <c r="AR29" s="808">
        <v>1.6620809999999999</v>
      </c>
      <c r="AS29" s="808">
        <f>AS41</f>
        <v>1.71</v>
      </c>
      <c r="AT29" s="707" t="s">
        <v>2017</v>
      </c>
      <c r="AU29" s="687">
        <v>23.267150999999998</v>
      </c>
      <c r="AV29" s="808">
        <f>AV41</f>
        <v>23.32</v>
      </c>
      <c r="AW29" s="808">
        <v>1.2791429999999999</v>
      </c>
      <c r="AX29" s="808">
        <f>AX41</f>
        <v>1.21</v>
      </c>
      <c r="AY29" s="808">
        <v>22.595566999999999</v>
      </c>
      <c r="AZ29" s="808">
        <f>AZ41</f>
        <v>22.63</v>
      </c>
      <c r="BA29" s="808">
        <v>7.0989999999999998E-2</v>
      </c>
      <c r="BB29" s="808">
        <f>BB41</f>
        <v>7.0000000000000007E-2</v>
      </c>
      <c r="BC29" s="808">
        <v>61.346919</v>
      </c>
      <c r="BD29" s="808">
        <f>BD41</f>
        <v>60.92</v>
      </c>
      <c r="BE29" s="808">
        <v>8.8075340000000004</v>
      </c>
      <c r="BF29" s="808">
        <f>BF41</f>
        <v>9.1</v>
      </c>
      <c r="BG29" s="808">
        <v>0.46550399999999997</v>
      </c>
      <c r="BH29" s="808">
        <f>BH41</f>
        <v>0.46</v>
      </c>
      <c r="BI29" s="701" t="s">
        <v>2017</v>
      </c>
      <c r="BJ29" s="922">
        <v>86.748475999999997</v>
      </c>
      <c r="BK29" s="808">
        <f>BK41</f>
        <v>89.24</v>
      </c>
      <c r="BL29" s="922">
        <v>0.180815</v>
      </c>
      <c r="BM29" s="808">
        <f>BM41</f>
        <v>0.17</v>
      </c>
      <c r="BN29" s="922">
        <v>116.43907</v>
      </c>
      <c r="BO29" s="808">
        <f>BO41</f>
        <v>117.14</v>
      </c>
      <c r="BP29" s="922">
        <v>2.7366299999999999</v>
      </c>
      <c r="BQ29" s="808">
        <f>BQ41</f>
        <v>2.75</v>
      </c>
      <c r="BR29" s="922">
        <v>23.081669999999999</v>
      </c>
      <c r="BS29" s="808">
        <f>BS41</f>
        <v>23.11</v>
      </c>
      <c r="BT29" s="922">
        <v>84.781146000000007</v>
      </c>
      <c r="BU29" s="808">
        <f>BU41</f>
        <v>84.9</v>
      </c>
      <c r="BV29" s="922">
        <v>106.809804</v>
      </c>
      <c r="BW29" s="808">
        <f>BW41</f>
        <v>104.41</v>
      </c>
    </row>
    <row r="30" spans="1:75" s="224" customFormat="1" ht="10.7" customHeight="1">
      <c r="A30" s="699" t="s">
        <v>742</v>
      </c>
      <c r="B30" s="782">
        <v>59.02</v>
      </c>
      <c r="C30" s="995">
        <v>58.07</v>
      </c>
      <c r="D30" s="782">
        <v>84.5</v>
      </c>
      <c r="E30" s="782">
        <v>84.5</v>
      </c>
      <c r="F30" s="995">
        <v>224.15</v>
      </c>
      <c r="G30" s="995">
        <v>224.14</v>
      </c>
      <c r="H30" s="782">
        <v>64.53</v>
      </c>
      <c r="I30" s="782">
        <v>64.27</v>
      </c>
      <c r="J30" s="782">
        <v>12.29</v>
      </c>
      <c r="K30" s="782">
        <v>12.27</v>
      </c>
      <c r="L30" s="782">
        <v>12.7</v>
      </c>
      <c r="M30" s="782">
        <v>12.62</v>
      </c>
      <c r="N30" s="995">
        <v>94.82</v>
      </c>
      <c r="O30" s="995">
        <v>94.26</v>
      </c>
      <c r="P30" s="699" t="s">
        <v>742</v>
      </c>
      <c r="Q30" s="472">
        <v>10.82</v>
      </c>
      <c r="R30" s="472">
        <v>10.8</v>
      </c>
      <c r="S30" s="472">
        <v>1.23</v>
      </c>
      <c r="T30" s="472">
        <v>1.23</v>
      </c>
      <c r="U30" s="472">
        <v>0.01</v>
      </c>
      <c r="V30" s="472">
        <v>0.01</v>
      </c>
      <c r="W30" s="472">
        <v>0</v>
      </c>
      <c r="X30" s="472">
        <v>0</v>
      </c>
      <c r="Y30" s="472">
        <v>0.78</v>
      </c>
      <c r="Z30" s="472">
        <v>0.78</v>
      </c>
      <c r="AA30" s="472">
        <v>277.70999999999998</v>
      </c>
      <c r="AB30" s="472">
        <v>277.45999999999998</v>
      </c>
      <c r="AC30" s="472">
        <v>20.49</v>
      </c>
      <c r="AD30" s="472">
        <v>20.47</v>
      </c>
      <c r="AE30" s="699" t="s">
        <v>742</v>
      </c>
      <c r="AF30" s="472">
        <v>0.06</v>
      </c>
      <c r="AG30" s="472">
        <v>0.06</v>
      </c>
      <c r="AH30" s="472">
        <v>0.74</v>
      </c>
      <c r="AI30" s="472">
        <v>0.73</v>
      </c>
      <c r="AJ30" s="472">
        <v>56.47</v>
      </c>
      <c r="AK30" s="472">
        <v>55.88</v>
      </c>
      <c r="AL30" s="472">
        <v>9.82</v>
      </c>
      <c r="AM30" s="472">
        <v>9.66</v>
      </c>
      <c r="AN30" s="472">
        <v>219.5</v>
      </c>
      <c r="AO30" s="472">
        <v>219.48</v>
      </c>
      <c r="AP30" s="472">
        <v>0.53</v>
      </c>
      <c r="AQ30" s="472">
        <v>0.53</v>
      </c>
      <c r="AR30" s="472">
        <v>1.65</v>
      </c>
      <c r="AS30" s="472">
        <v>1.66</v>
      </c>
      <c r="AT30" s="699" t="s">
        <v>742</v>
      </c>
      <c r="AU30" s="545">
        <v>23.21</v>
      </c>
      <c r="AV30" s="472">
        <v>23.21</v>
      </c>
      <c r="AW30" s="472">
        <v>1.34</v>
      </c>
      <c r="AX30" s="472">
        <v>1.33</v>
      </c>
      <c r="AY30" s="472">
        <v>22.53</v>
      </c>
      <c r="AZ30" s="472">
        <v>22.53</v>
      </c>
      <c r="BA30" s="472">
        <v>7.0000000000000007E-2</v>
      </c>
      <c r="BB30" s="472">
        <v>7.0000000000000007E-2</v>
      </c>
      <c r="BC30" s="472">
        <v>62.09</v>
      </c>
      <c r="BD30" s="472">
        <v>61.67</v>
      </c>
      <c r="BE30" s="472">
        <v>8.98</v>
      </c>
      <c r="BF30" s="472">
        <v>8.84</v>
      </c>
      <c r="BG30" s="472">
        <v>0.48</v>
      </c>
      <c r="BH30" s="472">
        <v>0.48</v>
      </c>
      <c r="BI30" s="699" t="s">
        <v>742</v>
      </c>
      <c r="BJ30" s="782">
        <v>85.58</v>
      </c>
      <c r="BK30" s="995">
        <v>85.32</v>
      </c>
      <c r="BL30" s="995">
        <v>0.16</v>
      </c>
      <c r="BM30" s="995">
        <v>0.16</v>
      </c>
      <c r="BN30" s="995">
        <v>116.79</v>
      </c>
      <c r="BO30" s="995">
        <v>116.38</v>
      </c>
      <c r="BP30" s="995">
        <v>2.74</v>
      </c>
      <c r="BQ30" s="995">
        <v>2.74</v>
      </c>
      <c r="BR30" s="782">
        <v>23</v>
      </c>
      <c r="BS30" s="782">
        <v>23</v>
      </c>
      <c r="BT30" s="782">
        <v>84.5</v>
      </c>
      <c r="BU30" s="782">
        <v>84.5</v>
      </c>
      <c r="BV30" s="995">
        <v>105.49</v>
      </c>
      <c r="BW30" s="782">
        <v>102.68</v>
      </c>
    </row>
    <row r="31" spans="1:75" s="224" customFormat="1" ht="10.7" customHeight="1">
      <c r="A31" s="696" t="s">
        <v>743</v>
      </c>
      <c r="B31" s="785">
        <v>57.26</v>
      </c>
      <c r="C31" s="785">
        <v>56.9</v>
      </c>
      <c r="D31" s="785">
        <v>84.5</v>
      </c>
      <c r="E31" s="785">
        <v>84.5</v>
      </c>
      <c r="F31" s="1003">
        <v>224.13</v>
      </c>
      <c r="G31" s="1003">
        <v>224.11</v>
      </c>
      <c r="H31" s="785">
        <v>63.7</v>
      </c>
      <c r="I31" s="785">
        <v>63.5</v>
      </c>
      <c r="J31" s="785">
        <v>12.04</v>
      </c>
      <c r="K31" s="785">
        <v>11.93</v>
      </c>
      <c r="L31" s="785">
        <v>12.6</v>
      </c>
      <c r="M31" s="785">
        <v>12.55</v>
      </c>
      <c r="N31" s="1003">
        <v>94.03</v>
      </c>
      <c r="O31" s="785">
        <v>93.6</v>
      </c>
      <c r="P31" s="696" t="s">
        <v>743</v>
      </c>
      <c r="Q31" s="456">
        <v>10.78</v>
      </c>
      <c r="R31" s="456">
        <v>10.77</v>
      </c>
      <c r="S31" s="456">
        <v>1.19</v>
      </c>
      <c r="T31" s="456">
        <v>1.18</v>
      </c>
      <c r="U31" s="456">
        <v>0.01</v>
      </c>
      <c r="V31" s="456">
        <v>0.01</v>
      </c>
      <c r="W31" s="456">
        <v>0</v>
      </c>
      <c r="X31" s="456">
        <v>0</v>
      </c>
      <c r="Y31" s="456">
        <v>0.79</v>
      </c>
      <c r="Z31" s="456">
        <v>0.8</v>
      </c>
      <c r="AA31" s="456">
        <v>277.77999999999997</v>
      </c>
      <c r="AB31" s="456">
        <v>278.10000000000002</v>
      </c>
      <c r="AC31" s="456">
        <v>20.190000000000001</v>
      </c>
      <c r="AD31" s="456">
        <v>20</v>
      </c>
      <c r="AE31" s="696" t="s">
        <v>743</v>
      </c>
      <c r="AF31" s="456">
        <v>0.06</v>
      </c>
      <c r="AG31" s="456">
        <v>0.06</v>
      </c>
      <c r="AH31" s="456">
        <v>0.73</v>
      </c>
      <c r="AI31" s="456">
        <v>0.73</v>
      </c>
      <c r="AJ31" s="456">
        <v>54.46</v>
      </c>
      <c r="AK31" s="456">
        <v>53.56</v>
      </c>
      <c r="AL31" s="456">
        <v>9.44</v>
      </c>
      <c r="AM31" s="456">
        <v>9.34</v>
      </c>
      <c r="AN31" s="456">
        <v>219.52</v>
      </c>
      <c r="AO31" s="456">
        <v>219.48</v>
      </c>
      <c r="AP31" s="456">
        <v>0.53</v>
      </c>
      <c r="AQ31" s="456">
        <v>0.53</v>
      </c>
      <c r="AR31" s="456">
        <v>1.62</v>
      </c>
      <c r="AS31" s="456">
        <v>1.61</v>
      </c>
      <c r="AT31" s="696" t="s">
        <v>743</v>
      </c>
      <c r="AU31" s="695">
        <v>23.21</v>
      </c>
      <c r="AV31" s="456">
        <v>23.21</v>
      </c>
      <c r="AW31" s="456">
        <v>1.29</v>
      </c>
      <c r="AX31" s="456">
        <v>1.27</v>
      </c>
      <c r="AY31" s="456">
        <v>22.53</v>
      </c>
      <c r="AZ31" s="456">
        <v>22.53</v>
      </c>
      <c r="BA31" s="456">
        <v>7.0000000000000007E-2</v>
      </c>
      <c r="BB31" s="456">
        <v>7.0000000000000007E-2</v>
      </c>
      <c r="BC31" s="456">
        <v>61.08</v>
      </c>
      <c r="BD31" s="456">
        <v>60.85</v>
      </c>
      <c r="BE31" s="456">
        <v>8.77</v>
      </c>
      <c r="BF31" s="456">
        <v>8.69</v>
      </c>
      <c r="BG31" s="456">
        <v>0.47</v>
      </c>
      <c r="BH31" s="456">
        <v>0.47</v>
      </c>
      <c r="BI31" s="696" t="s">
        <v>743</v>
      </c>
      <c r="BJ31" s="785">
        <v>86.27</v>
      </c>
      <c r="BK31" s="1003">
        <v>86.08</v>
      </c>
      <c r="BL31" s="1003">
        <v>0.16</v>
      </c>
      <c r="BM31" s="1003">
        <v>0.16</v>
      </c>
      <c r="BN31" s="1003">
        <v>116.02</v>
      </c>
      <c r="BO31" s="1003">
        <v>115.75</v>
      </c>
      <c r="BP31" s="1003">
        <v>2.75</v>
      </c>
      <c r="BQ31" s="1003">
        <v>2.76</v>
      </c>
      <c r="BR31" s="785">
        <v>23</v>
      </c>
      <c r="BS31" s="785">
        <v>23</v>
      </c>
      <c r="BT31" s="785">
        <v>84.5</v>
      </c>
      <c r="BU31" s="785">
        <v>84.5</v>
      </c>
      <c r="BV31" s="1003">
        <v>102.76</v>
      </c>
      <c r="BW31" s="785">
        <v>103.18</v>
      </c>
    </row>
    <row r="32" spans="1:75" s="224" customFormat="1" ht="10.7" customHeight="1">
      <c r="A32" s="699" t="s">
        <v>737</v>
      </c>
      <c r="B32" s="782">
        <v>57.5</v>
      </c>
      <c r="C32" s="782">
        <v>57.17</v>
      </c>
      <c r="D32" s="782">
        <v>84.5</v>
      </c>
      <c r="E32" s="782">
        <v>84.5</v>
      </c>
      <c r="F32" s="995">
        <v>224.11</v>
      </c>
      <c r="G32" s="995">
        <v>224.14</v>
      </c>
      <c r="H32" s="782">
        <v>63.79</v>
      </c>
      <c r="I32" s="782">
        <v>63.79</v>
      </c>
      <c r="J32" s="782">
        <v>11.94</v>
      </c>
      <c r="K32" s="782">
        <v>11.95</v>
      </c>
      <c r="L32" s="782">
        <v>12.47</v>
      </c>
      <c r="M32" s="782">
        <v>12.38</v>
      </c>
      <c r="N32" s="995">
        <v>93.03</v>
      </c>
      <c r="O32" s="782">
        <v>92.43</v>
      </c>
      <c r="P32" s="699" t="s">
        <v>737</v>
      </c>
      <c r="Q32" s="472">
        <v>10.78</v>
      </c>
      <c r="R32" s="472">
        <v>10.78</v>
      </c>
      <c r="S32" s="472">
        <v>1.18</v>
      </c>
      <c r="T32" s="472">
        <v>1.2</v>
      </c>
      <c r="U32" s="472">
        <v>0.01</v>
      </c>
      <c r="V32" s="472">
        <v>0.01</v>
      </c>
      <c r="W32" s="472">
        <v>0</v>
      </c>
      <c r="X32" s="472">
        <v>0</v>
      </c>
      <c r="Y32" s="472">
        <v>0.79</v>
      </c>
      <c r="Z32" s="472">
        <v>0.78</v>
      </c>
      <c r="AA32" s="472">
        <v>278.01</v>
      </c>
      <c r="AB32" s="472">
        <v>277.69</v>
      </c>
      <c r="AC32" s="472">
        <v>20.190000000000001</v>
      </c>
      <c r="AD32" s="472">
        <v>20.18</v>
      </c>
      <c r="AE32" s="699" t="s">
        <v>737</v>
      </c>
      <c r="AF32" s="472">
        <v>0.06</v>
      </c>
      <c r="AG32" s="472">
        <v>0.06</v>
      </c>
      <c r="AH32" s="472">
        <v>0.73</v>
      </c>
      <c r="AI32" s="472">
        <v>0.73</v>
      </c>
      <c r="AJ32" s="472">
        <v>53.58</v>
      </c>
      <c r="AK32" s="472">
        <v>53.21</v>
      </c>
      <c r="AL32" s="472">
        <v>9.3699999999999992</v>
      </c>
      <c r="AM32" s="472">
        <v>9.31</v>
      </c>
      <c r="AN32" s="472">
        <v>219.54</v>
      </c>
      <c r="AO32" s="472">
        <v>219.48</v>
      </c>
      <c r="AP32" s="472">
        <v>0.54</v>
      </c>
      <c r="AQ32" s="472">
        <v>0.54</v>
      </c>
      <c r="AR32" s="472">
        <v>1.62</v>
      </c>
      <c r="AS32" s="472">
        <v>1.63</v>
      </c>
      <c r="AT32" s="699" t="s">
        <v>737</v>
      </c>
      <c r="AU32" s="545">
        <v>23.2</v>
      </c>
      <c r="AV32" s="472">
        <v>23.21</v>
      </c>
      <c r="AW32" s="472">
        <v>1.3</v>
      </c>
      <c r="AX32" s="472">
        <v>1.31</v>
      </c>
      <c r="AY32" s="472">
        <v>22.53</v>
      </c>
      <c r="AZ32" s="472">
        <v>22.53</v>
      </c>
      <c r="BA32" s="472">
        <v>7.0000000000000007E-2</v>
      </c>
      <c r="BB32" s="472">
        <v>7.0000000000000007E-2</v>
      </c>
      <c r="BC32" s="472">
        <v>61.22</v>
      </c>
      <c r="BD32" s="472">
        <v>61.16</v>
      </c>
      <c r="BE32" s="472">
        <v>8.6999999999999993</v>
      </c>
      <c r="BF32" s="472">
        <v>8.61</v>
      </c>
      <c r="BG32" s="472">
        <v>0.47</v>
      </c>
      <c r="BH32" s="472">
        <v>0.46</v>
      </c>
      <c r="BI32" s="699" t="s">
        <v>737</v>
      </c>
      <c r="BJ32" s="782">
        <v>85.36</v>
      </c>
      <c r="BK32" s="995">
        <v>85.28</v>
      </c>
      <c r="BL32" s="995">
        <v>0.17</v>
      </c>
      <c r="BM32" s="995">
        <v>0.19</v>
      </c>
      <c r="BN32" s="995">
        <v>115.65</v>
      </c>
      <c r="BO32" s="995">
        <v>115.28</v>
      </c>
      <c r="BP32" s="995">
        <v>2.76</v>
      </c>
      <c r="BQ32" s="995">
        <v>2.76</v>
      </c>
      <c r="BR32" s="782">
        <v>23.01</v>
      </c>
      <c r="BS32" s="782">
        <v>23.01</v>
      </c>
      <c r="BT32" s="782">
        <v>84.5</v>
      </c>
      <c r="BU32" s="782">
        <v>84.5</v>
      </c>
      <c r="BV32" s="782">
        <v>104.3</v>
      </c>
      <c r="BW32" s="782">
        <v>103.84</v>
      </c>
    </row>
    <row r="33" spans="1:75" s="224" customFormat="1" ht="10.7" customHeight="1">
      <c r="A33" s="696" t="s">
        <v>744</v>
      </c>
      <c r="B33" s="785">
        <v>57.5</v>
      </c>
      <c r="C33" s="785">
        <v>58.5</v>
      </c>
      <c r="D33" s="785">
        <v>84.67</v>
      </c>
      <c r="E33" s="785">
        <v>84.75</v>
      </c>
      <c r="F33" s="1003">
        <v>224.59</v>
      </c>
      <c r="G33" s="785">
        <v>224.8</v>
      </c>
      <c r="H33" s="785">
        <v>64.17</v>
      </c>
      <c r="I33" s="785">
        <v>64.41</v>
      </c>
      <c r="J33" s="785">
        <v>11.97</v>
      </c>
      <c r="K33" s="785">
        <v>12.02</v>
      </c>
      <c r="L33" s="785">
        <v>12.52</v>
      </c>
      <c r="M33" s="785">
        <v>12.65</v>
      </c>
      <c r="N33" s="1003">
        <v>93.54</v>
      </c>
      <c r="O33" s="785">
        <v>94.5</v>
      </c>
      <c r="P33" s="696" t="s">
        <v>744</v>
      </c>
      <c r="Q33" s="456">
        <v>10.8</v>
      </c>
      <c r="R33" s="456">
        <v>10.81</v>
      </c>
      <c r="S33" s="456">
        <v>1.19</v>
      </c>
      <c r="T33" s="456">
        <v>1.19</v>
      </c>
      <c r="U33" s="456">
        <v>0.01</v>
      </c>
      <c r="V33" s="456">
        <v>0.01</v>
      </c>
      <c r="W33" s="456">
        <v>0</v>
      </c>
      <c r="X33" s="456">
        <v>0</v>
      </c>
      <c r="Y33" s="456">
        <v>0.78</v>
      </c>
      <c r="Z33" s="456">
        <v>0.78</v>
      </c>
      <c r="AA33" s="456">
        <v>278.62</v>
      </c>
      <c r="AB33" s="456">
        <v>278.92</v>
      </c>
      <c r="AC33" s="456">
        <v>20.22</v>
      </c>
      <c r="AD33" s="456">
        <v>20.29</v>
      </c>
      <c r="AE33" s="696" t="s">
        <v>744</v>
      </c>
      <c r="AF33" s="456">
        <v>0.06</v>
      </c>
      <c r="AG33" s="456">
        <v>0.06</v>
      </c>
      <c r="AH33" s="456">
        <v>0.73</v>
      </c>
      <c r="AI33" s="456">
        <v>0.74</v>
      </c>
      <c r="AJ33" s="456">
        <v>53.61</v>
      </c>
      <c r="AK33" s="456">
        <v>54.15</v>
      </c>
      <c r="AL33" s="456">
        <v>9.26</v>
      </c>
      <c r="AM33" s="456">
        <v>9.23</v>
      </c>
      <c r="AN33" s="456">
        <v>219.94</v>
      </c>
      <c r="AO33" s="456">
        <v>220.13</v>
      </c>
      <c r="AP33" s="456">
        <v>0.54</v>
      </c>
      <c r="AQ33" s="456">
        <v>0.55000000000000004</v>
      </c>
      <c r="AR33" s="456">
        <v>1.65</v>
      </c>
      <c r="AS33" s="456">
        <v>1.67</v>
      </c>
      <c r="AT33" s="696" t="s">
        <v>744</v>
      </c>
      <c r="AU33" s="695">
        <v>23.24</v>
      </c>
      <c r="AV33" s="456">
        <v>23.28</v>
      </c>
      <c r="AW33" s="456">
        <v>1.32</v>
      </c>
      <c r="AX33" s="456">
        <v>1.33</v>
      </c>
      <c r="AY33" s="456">
        <v>22.57</v>
      </c>
      <c r="AZ33" s="456">
        <v>22.6</v>
      </c>
      <c r="BA33" s="456">
        <v>7.0000000000000007E-2</v>
      </c>
      <c r="BB33" s="456">
        <v>7.0000000000000007E-2</v>
      </c>
      <c r="BC33" s="456">
        <v>61.74</v>
      </c>
      <c r="BD33" s="456">
        <v>62.22</v>
      </c>
      <c r="BE33" s="456">
        <v>8.66</v>
      </c>
      <c r="BF33" s="456">
        <v>8.8000000000000007</v>
      </c>
      <c r="BG33" s="456">
        <v>0.47</v>
      </c>
      <c r="BH33" s="456">
        <v>0.47</v>
      </c>
      <c r="BI33" s="696" t="s">
        <v>744</v>
      </c>
      <c r="BJ33" s="785">
        <v>85.21</v>
      </c>
      <c r="BK33" s="1003">
        <v>85.66</v>
      </c>
      <c r="BL33" s="1003">
        <v>0.19</v>
      </c>
      <c r="BM33" s="1003">
        <v>0.19</v>
      </c>
      <c r="BN33" s="1003">
        <v>116.12</v>
      </c>
      <c r="BO33" s="1003">
        <v>116.67</v>
      </c>
      <c r="BP33" s="1003">
        <v>2.79</v>
      </c>
      <c r="BQ33" s="1003">
        <v>2.81</v>
      </c>
      <c r="BR33" s="785">
        <v>23.05</v>
      </c>
      <c r="BS33" s="785">
        <v>23.07</v>
      </c>
      <c r="BT33" s="785">
        <v>84.67</v>
      </c>
      <c r="BU33" s="785">
        <v>84.75</v>
      </c>
      <c r="BV33" s="785">
        <v>106.96</v>
      </c>
      <c r="BW33" s="785">
        <v>109.35</v>
      </c>
    </row>
    <row r="34" spans="1:75" s="224" customFormat="1" ht="10.7" customHeight="1">
      <c r="A34" s="699" t="s">
        <v>745</v>
      </c>
      <c r="B34" s="782">
        <v>57.95</v>
      </c>
      <c r="C34" s="782">
        <v>57.47</v>
      </c>
      <c r="D34" s="782">
        <v>84.78</v>
      </c>
      <c r="E34" s="782">
        <v>84.9</v>
      </c>
      <c r="F34" s="995">
        <v>224.88</v>
      </c>
      <c r="G34" s="995">
        <v>225.17</v>
      </c>
      <c r="H34" s="782">
        <v>64.08</v>
      </c>
      <c r="I34" s="782">
        <v>63.94</v>
      </c>
      <c r="J34" s="782">
        <v>12.08</v>
      </c>
      <c r="K34" s="782">
        <v>12.08</v>
      </c>
      <c r="L34" s="782">
        <v>12.54</v>
      </c>
      <c r="M34" s="782">
        <v>12.51</v>
      </c>
      <c r="N34" s="995">
        <v>93.73</v>
      </c>
      <c r="O34" s="782">
        <v>93.47</v>
      </c>
      <c r="P34" s="699" t="s">
        <v>745</v>
      </c>
      <c r="Q34" s="472">
        <v>10.83</v>
      </c>
      <c r="R34" s="472">
        <v>10.85</v>
      </c>
      <c r="S34" s="472">
        <v>1.19</v>
      </c>
      <c r="T34" s="472">
        <v>1.19</v>
      </c>
      <c r="U34" s="472">
        <v>0.01</v>
      </c>
      <c r="V34" s="472">
        <v>0.01</v>
      </c>
      <c r="W34" s="472">
        <v>0</v>
      </c>
      <c r="X34" s="472">
        <v>0</v>
      </c>
      <c r="Y34" s="472">
        <v>0.78</v>
      </c>
      <c r="Z34" s="472">
        <v>0.78</v>
      </c>
      <c r="AA34" s="472">
        <v>279.11</v>
      </c>
      <c r="AB34" s="472">
        <v>279.18</v>
      </c>
      <c r="AC34" s="472">
        <v>20.39</v>
      </c>
      <c r="AD34" s="472">
        <v>20.350000000000001</v>
      </c>
      <c r="AE34" s="699" t="s">
        <v>745</v>
      </c>
      <c r="AF34" s="472">
        <v>0.06</v>
      </c>
      <c r="AG34" s="472">
        <v>0.06</v>
      </c>
      <c r="AH34" s="472">
        <v>0.74</v>
      </c>
      <c r="AI34" s="472">
        <v>0.74</v>
      </c>
      <c r="AJ34" s="472">
        <v>54.22</v>
      </c>
      <c r="AK34" s="472">
        <v>54.5</v>
      </c>
      <c r="AL34" s="472">
        <v>9.27</v>
      </c>
      <c r="AM34" s="472">
        <v>9.26</v>
      </c>
      <c r="AN34" s="472">
        <v>220.23</v>
      </c>
      <c r="AO34" s="472">
        <v>220.52</v>
      </c>
      <c r="AP34" s="472">
        <v>0.54</v>
      </c>
      <c r="AQ34" s="472">
        <v>0.55000000000000004</v>
      </c>
      <c r="AR34" s="472">
        <v>1.67</v>
      </c>
      <c r="AS34" s="472">
        <v>1.67</v>
      </c>
      <c r="AT34" s="699" t="s">
        <v>745</v>
      </c>
      <c r="AU34" s="545">
        <v>23.26</v>
      </c>
      <c r="AV34" s="472">
        <v>23.32</v>
      </c>
      <c r="AW34" s="472">
        <v>1.33</v>
      </c>
      <c r="AX34" s="472">
        <v>1.33</v>
      </c>
      <c r="AY34" s="472">
        <v>22.61</v>
      </c>
      <c r="AZ34" s="472">
        <v>22.64</v>
      </c>
      <c r="BA34" s="472">
        <v>7.0000000000000007E-2</v>
      </c>
      <c r="BB34" s="472">
        <v>7.0000000000000007E-2</v>
      </c>
      <c r="BC34" s="472">
        <v>62.28</v>
      </c>
      <c r="BD34" s="472">
        <v>62.16</v>
      </c>
      <c r="BE34" s="472">
        <v>8.7899999999999991</v>
      </c>
      <c r="BF34" s="472">
        <v>8.89</v>
      </c>
      <c r="BG34" s="472">
        <v>0.47</v>
      </c>
      <c r="BH34" s="472">
        <v>0.47</v>
      </c>
      <c r="BI34" s="699" t="s">
        <v>745</v>
      </c>
      <c r="BJ34" s="782">
        <v>85.41</v>
      </c>
      <c r="BK34" s="995">
        <v>85.03</v>
      </c>
      <c r="BL34" s="995">
        <v>0.19</v>
      </c>
      <c r="BM34" s="995">
        <v>0.19</v>
      </c>
      <c r="BN34" s="782">
        <v>116.6</v>
      </c>
      <c r="BO34" s="995">
        <v>116.56</v>
      </c>
      <c r="BP34" s="782">
        <v>2.8</v>
      </c>
      <c r="BQ34" s="995">
        <v>2.81</v>
      </c>
      <c r="BR34" s="782">
        <v>23.08</v>
      </c>
      <c r="BS34" s="782">
        <v>23.11</v>
      </c>
      <c r="BT34" s="782">
        <v>84.78</v>
      </c>
      <c r="BU34" s="782">
        <v>84.9</v>
      </c>
      <c r="BV34" s="782">
        <v>109.2</v>
      </c>
      <c r="BW34" s="782">
        <v>109.63</v>
      </c>
    </row>
    <row r="35" spans="1:75" s="224" customFormat="1" ht="10.7" customHeight="1">
      <c r="A35" s="696" t="s">
        <v>738</v>
      </c>
      <c r="B35" s="785">
        <v>58.36</v>
      </c>
      <c r="C35" s="785">
        <v>59.38</v>
      </c>
      <c r="D35" s="785">
        <v>84.9</v>
      </c>
      <c r="E35" s="785">
        <v>84.9</v>
      </c>
      <c r="F35" s="1003">
        <v>225.18</v>
      </c>
      <c r="G35" s="785">
        <v>225.2</v>
      </c>
      <c r="H35" s="785">
        <v>64.400000000000006</v>
      </c>
      <c r="I35" s="785">
        <v>64.98</v>
      </c>
      <c r="J35" s="785">
        <v>12.1</v>
      </c>
      <c r="K35" s="785">
        <v>12.17</v>
      </c>
      <c r="L35" s="785">
        <v>12.61</v>
      </c>
      <c r="M35" s="785">
        <v>12.73</v>
      </c>
      <c r="N35" s="1003">
        <v>94.25</v>
      </c>
      <c r="O35" s="785">
        <v>95.08</v>
      </c>
      <c r="P35" s="696" t="s">
        <v>738</v>
      </c>
      <c r="Q35" s="456">
        <v>10.87</v>
      </c>
      <c r="R35" s="456">
        <v>10.9</v>
      </c>
      <c r="S35" s="456">
        <v>1.19</v>
      </c>
      <c r="T35" s="456">
        <v>1.19</v>
      </c>
      <c r="U35" s="456">
        <v>0.01</v>
      </c>
      <c r="V35" s="456">
        <v>0.01</v>
      </c>
      <c r="W35" s="456">
        <v>0</v>
      </c>
      <c r="X35" s="456">
        <v>0</v>
      </c>
      <c r="Y35" s="456">
        <v>0.78</v>
      </c>
      <c r="Z35" s="456">
        <v>0.78</v>
      </c>
      <c r="AA35" s="456">
        <v>279.58999999999997</v>
      </c>
      <c r="AB35" s="456">
        <v>280.01</v>
      </c>
      <c r="AC35" s="456">
        <v>20.46</v>
      </c>
      <c r="AD35" s="456">
        <v>20.75</v>
      </c>
      <c r="AE35" s="696" t="s">
        <v>738</v>
      </c>
      <c r="AF35" s="456">
        <v>0.06</v>
      </c>
      <c r="AG35" s="456">
        <v>0.06</v>
      </c>
      <c r="AH35" s="456">
        <v>0.74</v>
      </c>
      <c r="AI35" s="456">
        <v>0.74</v>
      </c>
      <c r="AJ35" s="456">
        <v>55.88</v>
      </c>
      <c r="AK35" s="456">
        <v>57.11</v>
      </c>
      <c r="AL35" s="456">
        <v>9.39</v>
      </c>
      <c r="AM35" s="456">
        <v>9.6300000000000008</v>
      </c>
      <c r="AN35" s="456">
        <v>220.56</v>
      </c>
      <c r="AO35" s="456">
        <v>220.52</v>
      </c>
      <c r="AP35" s="456">
        <v>0.55000000000000004</v>
      </c>
      <c r="AQ35" s="456">
        <v>0.55000000000000004</v>
      </c>
      <c r="AR35" s="456">
        <v>1.67</v>
      </c>
      <c r="AS35" s="456">
        <v>1.67</v>
      </c>
      <c r="AT35" s="696" t="s">
        <v>738</v>
      </c>
      <c r="AU35" s="695">
        <v>23.29</v>
      </c>
      <c r="AV35" s="456">
        <v>23.18</v>
      </c>
      <c r="AW35" s="456">
        <v>1.35</v>
      </c>
      <c r="AX35" s="456">
        <v>1.37</v>
      </c>
      <c r="AY35" s="456">
        <v>22.63</v>
      </c>
      <c r="AZ35" s="456">
        <v>22.63</v>
      </c>
      <c r="BA35" s="456">
        <v>7.0000000000000007E-2</v>
      </c>
      <c r="BB35" s="456">
        <v>7.0000000000000007E-2</v>
      </c>
      <c r="BC35" s="456">
        <v>62.53</v>
      </c>
      <c r="BD35" s="456">
        <v>62.95</v>
      </c>
      <c r="BE35" s="456">
        <v>8.99</v>
      </c>
      <c r="BF35" s="456">
        <v>9.08</v>
      </c>
      <c r="BG35" s="456">
        <v>0.47</v>
      </c>
      <c r="BH35" s="456">
        <v>0.47</v>
      </c>
      <c r="BI35" s="696" t="s">
        <v>738</v>
      </c>
      <c r="BJ35" s="785">
        <v>86.25</v>
      </c>
      <c r="BK35" s="1003">
        <v>87.58</v>
      </c>
      <c r="BL35" s="1003">
        <v>0.19</v>
      </c>
      <c r="BM35" s="1003">
        <v>0.19</v>
      </c>
      <c r="BN35" s="1003">
        <v>117.01</v>
      </c>
      <c r="BO35" s="1003">
        <v>117.39</v>
      </c>
      <c r="BP35" s="785">
        <v>2.81</v>
      </c>
      <c r="BQ35" s="1003">
        <v>2.84</v>
      </c>
      <c r="BR35" s="785">
        <v>23.11</v>
      </c>
      <c r="BS35" s="785">
        <v>23.11</v>
      </c>
      <c r="BT35" s="785">
        <v>84.9</v>
      </c>
      <c r="BU35" s="785">
        <v>84.9</v>
      </c>
      <c r="BV35" s="785">
        <v>111.05</v>
      </c>
      <c r="BW35" s="785">
        <v>111.34</v>
      </c>
    </row>
    <row r="36" spans="1:75" s="224" customFormat="1" ht="10.7" customHeight="1">
      <c r="A36" s="699" t="s">
        <v>746</v>
      </c>
      <c r="B36" s="782">
        <v>58.39</v>
      </c>
      <c r="C36" s="782">
        <v>57.07</v>
      </c>
      <c r="D36" s="782">
        <v>84.9</v>
      </c>
      <c r="E36" s="782">
        <v>84.9</v>
      </c>
      <c r="F36" s="995">
        <v>225.18</v>
      </c>
      <c r="G36" s="782">
        <v>225.2</v>
      </c>
      <c r="H36" s="782">
        <v>64.959999999999994</v>
      </c>
      <c r="I36" s="782">
        <v>64.28</v>
      </c>
      <c r="J36" s="782">
        <v>12.28</v>
      </c>
      <c r="K36" s="782">
        <v>12.33</v>
      </c>
      <c r="L36" s="782">
        <v>12.62</v>
      </c>
      <c r="M36" s="782">
        <v>12.53</v>
      </c>
      <c r="N36" s="782">
        <v>94.3</v>
      </c>
      <c r="O36" s="782">
        <v>93.66</v>
      </c>
      <c r="P36" s="699" t="s">
        <v>746</v>
      </c>
      <c r="Q36" s="472">
        <v>10.92</v>
      </c>
      <c r="R36" s="472">
        <v>10.93</v>
      </c>
      <c r="S36" s="472">
        <v>1.19</v>
      </c>
      <c r="T36" s="472">
        <v>1.19</v>
      </c>
      <c r="U36" s="472">
        <v>0.01</v>
      </c>
      <c r="V36" s="472">
        <v>0.01</v>
      </c>
      <c r="W36" s="472">
        <v>0</v>
      </c>
      <c r="X36" s="472">
        <v>0</v>
      </c>
      <c r="Y36" s="472">
        <v>0.78</v>
      </c>
      <c r="Z36" s="472">
        <v>0.78</v>
      </c>
      <c r="AA36" s="472">
        <v>279.75</v>
      </c>
      <c r="AB36" s="472">
        <v>279.23</v>
      </c>
      <c r="AC36" s="472">
        <v>20.82</v>
      </c>
      <c r="AD36" s="472">
        <v>20.77</v>
      </c>
      <c r="AE36" s="699" t="s">
        <v>746</v>
      </c>
      <c r="AF36" s="472">
        <v>0.06</v>
      </c>
      <c r="AG36" s="472">
        <v>0.06</v>
      </c>
      <c r="AH36" s="472">
        <v>0.74</v>
      </c>
      <c r="AI36" s="472">
        <v>0.74</v>
      </c>
      <c r="AJ36" s="472">
        <v>56.23</v>
      </c>
      <c r="AK36" s="472">
        <v>55.07</v>
      </c>
      <c r="AL36" s="472">
        <v>9.51</v>
      </c>
      <c r="AM36" s="472">
        <v>9.25</v>
      </c>
      <c r="AN36" s="472">
        <v>220.54</v>
      </c>
      <c r="AO36" s="472">
        <v>220.52</v>
      </c>
      <c r="AP36" s="472">
        <v>0.55000000000000004</v>
      </c>
      <c r="AQ36" s="472">
        <v>0.55000000000000004</v>
      </c>
      <c r="AR36" s="472">
        <v>1.67</v>
      </c>
      <c r="AS36" s="472">
        <v>1.67</v>
      </c>
      <c r="AT36" s="699" t="s">
        <v>746</v>
      </c>
      <c r="AU36" s="545">
        <v>23.29</v>
      </c>
      <c r="AV36" s="472">
        <v>23.18</v>
      </c>
      <c r="AW36" s="472">
        <v>1.37</v>
      </c>
      <c r="AX36" s="472">
        <v>1.35</v>
      </c>
      <c r="AY36" s="472">
        <v>22.63</v>
      </c>
      <c r="AZ36" s="472">
        <v>22.63</v>
      </c>
      <c r="BA36" s="472">
        <v>7.0000000000000007E-2</v>
      </c>
      <c r="BB36" s="472">
        <v>7.0000000000000007E-2</v>
      </c>
      <c r="BC36" s="472">
        <v>62.88</v>
      </c>
      <c r="BD36" s="472">
        <v>62.35</v>
      </c>
      <c r="BE36" s="472">
        <v>8.94</v>
      </c>
      <c r="BF36" s="472">
        <v>8.8000000000000007</v>
      </c>
      <c r="BG36" s="472">
        <v>0.47</v>
      </c>
      <c r="BH36" s="472">
        <v>0.47</v>
      </c>
      <c r="BI36" s="699" t="s">
        <v>746</v>
      </c>
      <c r="BJ36" s="782">
        <v>87.53</v>
      </c>
      <c r="BK36" s="995">
        <v>87.57</v>
      </c>
      <c r="BL36" s="995">
        <v>0.19</v>
      </c>
      <c r="BM36" s="995">
        <v>0.19</v>
      </c>
      <c r="BN36" s="995">
        <v>117.17</v>
      </c>
      <c r="BO36" s="995">
        <v>116.81</v>
      </c>
      <c r="BP36" s="782">
        <v>2.79</v>
      </c>
      <c r="BQ36" s="995">
        <v>2.73</v>
      </c>
      <c r="BR36" s="782">
        <v>23.11</v>
      </c>
      <c r="BS36" s="782">
        <v>23.11</v>
      </c>
      <c r="BT36" s="782">
        <v>84.9</v>
      </c>
      <c r="BU36" s="782">
        <v>84.9</v>
      </c>
      <c r="BV36" s="782">
        <v>111.08</v>
      </c>
      <c r="BW36" s="782">
        <v>111.18</v>
      </c>
    </row>
    <row r="37" spans="1:75" s="224" customFormat="1" ht="10.7" customHeight="1">
      <c r="A37" s="696" t="s">
        <v>747</v>
      </c>
      <c r="B37" s="785">
        <v>56.73</v>
      </c>
      <c r="C37" s="785">
        <v>55.8</v>
      </c>
      <c r="D37" s="785">
        <v>84.95</v>
      </c>
      <c r="E37" s="785">
        <v>84.95</v>
      </c>
      <c r="F37" s="1003">
        <v>225.34</v>
      </c>
      <c r="G37" s="785">
        <v>225.54</v>
      </c>
      <c r="H37" s="785">
        <v>64.010000000000005</v>
      </c>
      <c r="I37" s="785">
        <v>63.44</v>
      </c>
      <c r="J37" s="785">
        <v>12.16</v>
      </c>
      <c r="K37" s="785">
        <v>12.12</v>
      </c>
      <c r="L37" s="785">
        <v>12.41</v>
      </c>
      <c r="M37" s="785">
        <v>12.51</v>
      </c>
      <c r="N37" s="785">
        <v>92.71</v>
      </c>
      <c r="O37" s="785">
        <v>93.44</v>
      </c>
      <c r="P37" s="696" t="s">
        <v>747</v>
      </c>
      <c r="Q37" s="456">
        <v>10.93</v>
      </c>
      <c r="R37" s="456">
        <v>10.9</v>
      </c>
      <c r="S37" s="456">
        <v>1.19</v>
      </c>
      <c r="T37" s="456">
        <v>1.19</v>
      </c>
      <c r="U37" s="456">
        <v>0.01</v>
      </c>
      <c r="V37" s="456">
        <v>0.01</v>
      </c>
      <c r="W37" s="456">
        <v>0</v>
      </c>
      <c r="X37" s="456">
        <v>0</v>
      </c>
      <c r="Y37" s="456">
        <v>0.77</v>
      </c>
      <c r="Z37" s="456">
        <v>0.78</v>
      </c>
      <c r="AA37" s="456">
        <v>278.44</v>
      </c>
      <c r="AB37" s="456">
        <v>277.66000000000003</v>
      </c>
      <c r="AC37" s="456">
        <v>20.43</v>
      </c>
      <c r="AD37" s="456">
        <v>20.100000000000001</v>
      </c>
      <c r="AE37" s="696" t="s">
        <v>747</v>
      </c>
      <c r="AF37" s="456">
        <v>0.06</v>
      </c>
      <c r="AG37" s="456">
        <v>0.06</v>
      </c>
      <c r="AH37" s="456">
        <v>0.73</v>
      </c>
      <c r="AI37" s="456">
        <v>0.73</v>
      </c>
      <c r="AJ37" s="456">
        <v>54.42</v>
      </c>
      <c r="AK37" s="456">
        <v>53.59</v>
      </c>
      <c r="AL37" s="456">
        <v>9.16</v>
      </c>
      <c r="AM37" s="456">
        <v>9.0500000000000007</v>
      </c>
      <c r="AN37" s="456">
        <v>220.69</v>
      </c>
      <c r="AO37" s="456">
        <v>220.65</v>
      </c>
      <c r="AP37" s="456">
        <v>0.55000000000000004</v>
      </c>
      <c r="AQ37" s="456">
        <v>0.55000000000000004</v>
      </c>
      <c r="AR37" s="456">
        <v>1.67</v>
      </c>
      <c r="AS37" s="456">
        <v>1.67</v>
      </c>
      <c r="AT37" s="696" t="s">
        <v>747</v>
      </c>
      <c r="AU37" s="695">
        <v>23.33</v>
      </c>
      <c r="AV37" s="456">
        <v>23.33</v>
      </c>
      <c r="AW37" s="456">
        <v>1.33</v>
      </c>
      <c r="AX37" s="456">
        <v>1.3</v>
      </c>
      <c r="AY37" s="456">
        <v>22.65</v>
      </c>
      <c r="AZ37" s="456">
        <v>22.63</v>
      </c>
      <c r="BA37" s="456">
        <v>7.0000000000000007E-2</v>
      </c>
      <c r="BB37" s="456">
        <v>7.0000000000000007E-2</v>
      </c>
      <c r="BC37" s="456">
        <v>61.22</v>
      </c>
      <c r="BD37" s="456">
        <v>60.89</v>
      </c>
      <c r="BE37" s="456">
        <v>8.77</v>
      </c>
      <c r="BF37" s="456">
        <v>8.75</v>
      </c>
      <c r="BG37" s="456">
        <v>0.47</v>
      </c>
      <c r="BH37" s="456">
        <v>0.47</v>
      </c>
      <c r="BI37" s="696" t="s">
        <v>747</v>
      </c>
      <c r="BJ37" s="785">
        <v>87.03</v>
      </c>
      <c r="BK37" s="1003">
        <v>87.79</v>
      </c>
      <c r="BL37" s="1003">
        <v>0.19</v>
      </c>
      <c r="BM37" s="1003">
        <v>0.19</v>
      </c>
      <c r="BN37" s="1003">
        <v>116.32</v>
      </c>
      <c r="BO37" s="1003">
        <v>116.35</v>
      </c>
      <c r="BP37" s="785">
        <v>2.71</v>
      </c>
      <c r="BQ37" s="1003">
        <v>2.68</v>
      </c>
      <c r="BR37" s="785">
        <v>23.13</v>
      </c>
      <c r="BS37" s="785">
        <v>23.13</v>
      </c>
      <c r="BT37" s="785">
        <v>84.95</v>
      </c>
      <c r="BU37" s="785">
        <v>84.95</v>
      </c>
      <c r="BV37" s="785">
        <v>110.33</v>
      </c>
      <c r="BW37" s="785">
        <v>109.46</v>
      </c>
    </row>
    <row r="38" spans="1:75" s="224" customFormat="1" ht="10.7" customHeight="1">
      <c r="A38" s="699" t="s">
        <v>739</v>
      </c>
      <c r="B38" s="782">
        <v>52.78</v>
      </c>
      <c r="C38" s="782">
        <v>50.61</v>
      </c>
      <c r="D38" s="782">
        <v>84.95</v>
      </c>
      <c r="E38" s="782">
        <v>84.95</v>
      </c>
      <c r="F38" s="995">
        <v>225.09</v>
      </c>
      <c r="G38" s="782">
        <v>224.71</v>
      </c>
      <c r="H38" s="782">
        <v>60.92</v>
      </c>
      <c r="I38" s="782">
        <v>58.74</v>
      </c>
      <c r="J38" s="782">
        <v>12.11</v>
      </c>
      <c r="K38" s="782">
        <v>12.01</v>
      </c>
      <c r="L38" s="782">
        <v>12.53</v>
      </c>
      <c r="M38" s="782">
        <v>12.27</v>
      </c>
      <c r="N38" s="782">
        <v>93.6</v>
      </c>
      <c r="O38" s="782">
        <v>91.65</v>
      </c>
      <c r="P38" s="699" t="s">
        <v>739</v>
      </c>
      <c r="Q38" s="472">
        <v>10.94</v>
      </c>
      <c r="R38" s="472">
        <v>10.96</v>
      </c>
      <c r="S38" s="472">
        <v>1.1399999999999999</v>
      </c>
      <c r="T38" s="472">
        <v>1.1100000000000001</v>
      </c>
      <c r="U38" s="472">
        <v>0.01</v>
      </c>
      <c r="V38" s="472">
        <v>0.01</v>
      </c>
      <c r="W38" s="472">
        <v>0</v>
      </c>
      <c r="X38" s="472">
        <v>0</v>
      </c>
      <c r="Y38" s="472">
        <v>0.79</v>
      </c>
      <c r="Z38" s="472">
        <v>0.76</v>
      </c>
      <c r="AA38" s="472">
        <v>275.14</v>
      </c>
      <c r="AB38" s="472">
        <v>271.67</v>
      </c>
      <c r="AC38" s="472">
        <v>19.739999999999998</v>
      </c>
      <c r="AD38" s="472">
        <v>19.329999999999998</v>
      </c>
      <c r="AE38" s="699" t="s">
        <v>739</v>
      </c>
      <c r="AF38" s="472">
        <v>0.06</v>
      </c>
      <c r="AG38" s="472">
        <v>0.06</v>
      </c>
      <c r="AH38" s="472">
        <v>0.73</v>
      </c>
      <c r="AI38" s="472">
        <v>0.72</v>
      </c>
      <c r="AJ38" s="472">
        <v>51.29</v>
      </c>
      <c r="AK38" s="472">
        <v>49.51</v>
      </c>
      <c r="AL38" s="472">
        <v>8.3000000000000007</v>
      </c>
      <c r="AM38" s="472">
        <v>7.63</v>
      </c>
      <c r="AN38" s="472">
        <v>220.69</v>
      </c>
      <c r="AO38" s="472">
        <v>220.59</v>
      </c>
      <c r="AP38" s="472">
        <v>0.54</v>
      </c>
      <c r="AQ38" s="472">
        <v>0.53</v>
      </c>
      <c r="AR38" s="472">
        <v>1.67</v>
      </c>
      <c r="AS38" s="472">
        <v>1.66</v>
      </c>
      <c r="AT38" s="699" t="s">
        <v>739</v>
      </c>
      <c r="AU38" s="545">
        <v>23.32</v>
      </c>
      <c r="AV38" s="472">
        <v>23.33</v>
      </c>
      <c r="AW38" s="472">
        <v>1.1499999999999999</v>
      </c>
      <c r="AX38" s="472">
        <v>1.08</v>
      </c>
      <c r="AY38" s="472">
        <v>22.63</v>
      </c>
      <c r="AZ38" s="472">
        <v>22.61</v>
      </c>
      <c r="BA38" s="472">
        <v>7.0000000000000007E-2</v>
      </c>
      <c r="BB38" s="472">
        <v>7.0000000000000007E-2</v>
      </c>
      <c r="BC38" s="472">
        <v>59.96</v>
      </c>
      <c r="BD38" s="472">
        <v>58.73</v>
      </c>
      <c r="BE38" s="472">
        <v>8.65</v>
      </c>
      <c r="BF38" s="472">
        <v>8.41</v>
      </c>
      <c r="BG38" s="472">
        <v>0.46</v>
      </c>
      <c r="BH38" s="472">
        <v>0.45</v>
      </c>
      <c r="BI38" s="699" t="s">
        <v>739</v>
      </c>
      <c r="BJ38" s="782">
        <v>88.36</v>
      </c>
      <c r="BK38" s="995">
        <v>86.53</v>
      </c>
      <c r="BL38" s="995">
        <v>0.19</v>
      </c>
      <c r="BM38" s="995">
        <v>0.19</v>
      </c>
      <c r="BN38" s="995">
        <v>116.52</v>
      </c>
      <c r="BO38" s="995">
        <v>115.08</v>
      </c>
      <c r="BP38" s="782">
        <v>2.65</v>
      </c>
      <c r="BQ38" s="995">
        <v>2.59</v>
      </c>
      <c r="BR38" s="782">
        <v>23.13</v>
      </c>
      <c r="BS38" s="782">
        <v>23.13</v>
      </c>
      <c r="BT38" s="782">
        <v>84.95</v>
      </c>
      <c r="BU38" s="782">
        <v>84.95</v>
      </c>
      <c r="BV38" s="782">
        <v>104.48</v>
      </c>
      <c r="BW38" s="782">
        <v>99.89</v>
      </c>
    </row>
    <row r="39" spans="1:75" s="224" customFormat="1" ht="10.7" customHeight="1">
      <c r="A39" s="696" t="s">
        <v>748</v>
      </c>
      <c r="B39" s="785">
        <v>53.96</v>
      </c>
      <c r="C39" s="785">
        <v>54.84</v>
      </c>
      <c r="D39" s="785">
        <v>84.95</v>
      </c>
      <c r="E39" s="785">
        <v>84.95</v>
      </c>
      <c r="F39" s="1003">
        <v>225.11</v>
      </c>
      <c r="G39" s="785">
        <v>225.3</v>
      </c>
      <c r="H39" s="785">
        <v>60.21</v>
      </c>
      <c r="I39" s="785">
        <v>60.25</v>
      </c>
      <c r="J39" s="785">
        <v>12</v>
      </c>
      <c r="K39" s="785">
        <v>11.97</v>
      </c>
      <c r="L39" s="785">
        <v>12.37</v>
      </c>
      <c r="M39" s="785">
        <v>12.32</v>
      </c>
      <c r="N39" s="785">
        <v>91.99</v>
      </c>
      <c r="O39" s="785">
        <v>91.89</v>
      </c>
      <c r="P39" s="696" t="s">
        <v>748</v>
      </c>
      <c r="Q39" s="456">
        <v>10.96</v>
      </c>
      <c r="R39" s="456">
        <v>10.96</v>
      </c>
      <c r="S39" s="456">
        <v>1.1200000000000001</v>
      </c>
      <c r="T39" s="456">
        <v>1.1299999999999999</v>
      </c>
      <c r="U39" s="456">
        <v>0.01</v>
      </c>
      <c r="V39" s="456">
        <v>0.01</v>
      </c>
      <c r="W39" s="456">
        <v>0</v>
      </c>
      <c r="X39" s="456">
        <v>0</v>
      </c>
      <c r="Y39" s="456">
        <v>0.79</v>
      </c>
      <c r="Z39" s="456">
        <v>0.79</v>
      </c>
      <c r="AA39" s="456">
        <v>273.64999999999998</v>
      </c>
      <c r="AB39" s="456">
        <v>274.64999999999998</v>
      </c>
      <c r="AC39" s="456">
        <v>19.510000000000002</v>
      </c>
      <c r="AD39" s="456">
        <v>19.600000000000001</v>
      </c>
      <c r="AE39" s="696" t="s">
        <v>748</v>
      </c>
      <c r="AF39" s="456">
        <v>0.06</v>
      </c>
      <c r="AG39" s="456">
        <v>0.06</v>
      </c>
      <c r="AH39" s="456">
        <v>0.73</v>
      </c>
      <c r="AI39" s="456">
        <v>0.73</v>
      </c>
      <c r="AJ39" s="456">
        <v>51.06</v>
      </c>
      <c r="AK39" s="456">
        <v>50.9</v>
      </c>
      <c r="AL39" s="456">
        <v>8.1300000000000008</v>
      </c>
      <c r="AM39" s="456">
        <v>8.36</v>
      </c>
      <c r="AN39" s="456">
        <v>220.93</v>
      </c>
      <c r="AO39" s="456">
        <v>220.94</v>
      </c>
      <c r="AP39" s="456">
        <v>0.52</v>
      </c>
      <c r="AQ39" s="456">
        <v>0.53</v>
      </c>
      <c r="AR39" s="456">
        <v>1.68</v>
      </c>
      <c r="AS39" s="456">
        <v>1.69</v>
      </c>
      <c r="AT39" s="696" t="s">
        <v>748</v>
      </c>
      <c r="AU39" s="695">
        <v>23.23</v>
      </c>
      <c r="AV39" s="456">
        <v>23.33</v>
      </c>
      <c r="AW39" s="456">
        <v>1.1299999999999999</v>
      </c>
      <c r="AX39" s="456">
        <v>1.1599999999999999</v>
      </c>
      <c r="AY39" s="456">
        <v>22.6</v>
      </c>
      <c r="AZ39" s="456">
        <v>22.62</v>
      </c>
      <c r="BA39" s="456">
        <v>7.0000000000000007E-2</v>
      </c>
      <c r="BB39" s="456">
        <v>7.0000000000000007E-2</v>
      </c>
      <c r="BC39" s="456">
        <v>59.65</v>
      </c>
      <c r="BD39" s="456">
        <v>59.82</v>
      </c>
      <c r="BE39" s="456">
        <v>8.49</v>
      </c>
      <c r="BF39" s="456">
        <v>8.6300000000000008</v>
      </c>
      <c r="BG39" s="456">
        <v>0.44</v>
      </c>
      <c r="BH39" s="456">
        <v>0.44</v>
      </c>
      <c r="BI39" s="696" t="s">
        <v>748</v>
      </c>
      <c r="BJ39" s="785">
        <v>87.46</v>
      </c>
      <c r="BK39" s="1003">
        <v>87.38</v>
      </c>
      <c r="BL39" s="1003">
        <v>0.17</v>
      </c>
      <c r="BM39" s="1003">
        <v>0.17</v>
      </c>
      <c r="BN39" s="1003">
        <v>115.75</v>
      </c>
      <c r="BO39" s="1003">
        <v>115.77</v>
      </c>
      <c r="BP39" s="785">
        <v>2.61</v>
      </c>
      <c r="BQ39" s="1003">
        <v>2.64</v>
      </c>
      <c r="BR39" s="785">
        <v>23.13</v>
      </c>
      <c r="BS39" s="785">
        <v>23.13</v>
      </c>
      <c r="BT39" s="785">
        <v>84.95</v>
      </c>
      <c r="BU39" s="785">
        <v>84.95</v>
      </c>
      <c r="BV39" s="785">
        <v>104.93</v>
      </c>
      <c r="BW39" s="785">
        <v>103.9</v>
      </c>
    </row>
    <row r="40" spans="1:75" s="224" customFormat="1" ht="10.7" customHeight="1">
      <c r="A40" s="699" t="s">
        <v>749</v>
      </c>
      <c r="B40" s="782">
        <v>55.26</v>
      </c>
      <c r="C40" s="782">
        <v>56.64</v>
      </c>
      <c r="D40" s="782">
        <v>84.95</v>
      </c>
      <c r="E40" s="782">
        <v>84.95</v>
      </c>
      <c r="F40" s="995">
        <v>225.15</v>
      </c>
      <c r="G40" s="782">
        <v>225.18</v>
      </c>
      <c r="H40" s="782">
        <v>60.71</v>
      </c>
      <c r="I40" s="782">
        <v>61.69</v>
      </c>
      <c r="J40" s="782">
        <v>11.98</v>
      </c>
      <c r="K40" s="782">
        <v>11.91</v>
      </c>
      <c r="L40" s="782">
        <v>12.4</v>
      </c>
      <c r="M40" s="782">
        <v>12.66</v>
      </c>
      <c r="N40" s="782">
        <v>92.34</v>
      </c>
      <c r="O40" s="782">
        <v>94.29</v>
      </c>
      <c r="P40" s="699" t="s">
        <v>749</v>
      </c>
      <c r="Q40" s="472">
        <v>10.96</v>
      </c>
      <c r="R40" s="472">
        <v>10.96</v>
      </c>
      <c r="S40" s="472">
        <v>1.1299999999999999</v>
      </c>
      <c r="T40" s="472">
        <v>1.1200000000000001</v>
      </c>
      <c r="U40" s="472">
        <v>0.01</v>
      </c>
      <c r="V40" s="472">
        <v>0.01</v>
      </c>
      <c r="W40" s="472">
        <v>0</v>
      </c>
      <c r="X40" s="472">
        <v>0</v>
      </c>
      <c r="Y40" s="472">
        <v>0.79</v>
      </c>
      <c r="Z40" s="472">
        <v>0.79</v>
      </c>
      <c r="AA40" s="472">
        <v>274.89</v>
      </c>
      <c r="AB40" s="472">
        <v>275.5</v>
      </c>
      <c r="AC40" s="472">
        <v>19.600000000000001</v>
      </c>
      <c r="AD40" s="472">
        <v>19.55</v>
      </c>
      <c r="AE40" s="699" t="s">
        <v>749</v>
      </c>
      <c r="AF40" s="472">
        <v>0.06</v>
      </c>
      <c r="AG40" s="472">
        <v>0.06</v>
      </c>
      <c r="AH40" s="472">
        <v>0.73</v>
      </c>
      <c r="AI40" s="472">
        <v>0.74</v>
      </c>
      <c r="AJ40" s="472">
        <v>51.5</v>
      </c>
      <c r="AK40" s="472">
        <v>52.69</v>
      </c>
      <c r="AL40" s="472">
        <v>8.4</v>
      </c>
      <c r="AM40" s="472">
        <v>8.73</v>
      </c>
      <c r="AN40" s="472">
        <v>220.96</v>
      </c>
      <c r="AO40" s="472">
        <v>221.22</v>
      </c>
      <c r="AP40" s="472">
        <v>0.53</v>
      </c>
      <c r="AQ40" s="472">
        <v>0.52</v>
      </c>
      <c r="AR40" s="472">
        <v>1.68</v>
      </c>
      <c r="AS40" s="472">
        <v>1.68</v>
      </c>
      <c r="AT40" s="699" t="s">
        <v>749</v>
      </c>
      <c r="AU40" s="545">
        <v>23.31</v>
      </c>
      <c r="AV40" s="472">
        <v>23.21</v>
      </c>
      <c r="AW40" s="472">
        <v>1.17</v>
      </c>
      <c r="AX40" s="472">
        <v>1.21</v>
      </c>
      <c r="AY40" s="472">
        <v>22.62</v>
      </c>
      <c r="AZ40" s="472">
        <v>22.61</v>
      </c>
      <c r="BA40" s="472">
        <v>7.0000000000000007E-2</v>
      </c>
      <c r="BB40" s="472">
        <v>7.0000000000000007E-2</v>
      </c>
      <c r="BC40" s="472">
        <v>59.91</v>
      </c>
      <c r="BD40" s="472">
        <v>60.07</v>
      </c>
      <c r="BE40" s="472">
        <v>8.69</v>
      </c>
      <c r="BF40" s="472">
        <v>8.98</v>
      </c>
      <c r="BG40" s="472">
        <v>0.45</v>
      </c>
      <c r="BH40" s="472">
        <v>0.46</v>
      </c>
      <c r="BI40" s="699" t="s">
        <v>749</v>
      </c>
      <c r="BJ40" s="782">
        <v>87.64</v>
      </c>
      <c r="BK40" s="995">
        <v>88.37</v>
      </c>
      <c r="BL40" s="995">
        <v>0.17</v>
      </c>
      <c r="BM40" s="995">
        <v>0.17</v>
      </c>
      <c r="BN40" s="995">
        <v>115.84</v>
      </c>
      <c r="BO40" s="995">
        <v>116.55</v>
      </c>
      <c r="BP40" s="782">
        <v>2.64</v>
      </c>
      <c r="BQ40" s="995">
        <v>2.67</v>
      </c>
      <c r="BR40" s="782">
        <v>23.13</v>
      </c>
      <c r="BS40" s="782">
        <v>23.13</v>
      </c>
      <c r="BT40" s="782">
        <v>84.95</v>
      </c>
      <c r="BU40" s="782">
        <v>84.95</v>
      </c>
      <c r="BV40" s="782">
        <v>104.48</v>
      </c>
      <c r="BW40" s="782">
        <v>104.88</v>
      </c>
    </row>
    <row r="41" spans="1:75" s="224" customFormat="1" ht="10.7" customHeight="1">
      <c r="A41" s="696" t="s">
        <v>740</v>
      </c>
      <c r="B41" s="785">
        <v>58.55</v>
      </c>
      <c r="C41" s="785">
        <v>58.28</v>
      </c>
      <c r="D41" s="785">
        <v>84.92</v>
      </c>
      <c r="E41" s="785">
        <v>84.9</v>
      </c>
      <c r="F41" s="1003">
        <v>224.95</v>
      </c>
      <c r="G41" s="785">
        <v>224.84</v>
      </c>
      <c r="H41" s="785">
        <v>62.67</v>
      </c>
      <c r="I41" s="785">
        <v>62.16</v>
      </c>
      <c r="J41" s="785">
        <v>11.99</v>
      </c>
      <c r="K41" s="785">
        <v>11.99</v>
      </c>
      <c r="L41" s="785">
        <v>12.82</v>
      </c>
      <c r="M41" s="785">
        <v>12.81</v>
      </c>
      <c r="N41" s="785">
        <v>95.54</v>
      </c>
      <c r="O41" s="785">
        <v>95.44</v>
      </c>
      <c r="P41" s="696" t="s">
        <v>740</v>
      </c>
      <c r="Q41" s="456">
        <v>10.96</v>
      </c>
      <c r="R41" s="456">
        <v>10.95</v>
      </c>
      <c r="S41" s="456">
        <v>1.1200000000000001</v>
      </c>
      <c r="T41" s="456">
        <v>1.1200000000000001</v>
      </c>
      <c r="U41" s="456">
        <v>0.01</v>
      </c>
      <c r="V41" s="456">
        <v>0.01</v>
      </c>
      <c r="W41" s="456">
        <v>0</v>
      </c>
      <c r="X41" s="456">
        <v>0</v>
      </c>
      <c r="Y41" s="456">
        <v>0.79</v>
      </c>
      <c r="Z41" s="456">
        <v>0.79</v>
      </c>
      <c r="AA41" s="456">
        <v>275.89</v>
      </c>
      <c r="AB41" s="456">
        <v>275.87</v>
      </c>
      <c r="AC41" s="456">
        <v>19.86</v>
      </c>
      <c r="AD41" s="456">
        <v>19.84</v>
      </c>
      <c r="AE41" s="696" t="s">
        <v>740</v>
      </c>
      <c r="AF41" s="456">
        <v>0.06</v>
      </c>
      <c r="AG41" s="456">
        <v>0.06</v>
      </c>
      <c r="AH41" s="456">
        <v>0.74</v>
      </c>
      <c r="AI41" s="456">
        <v>0.74</v>
      </c>
      <c r="AJ41" s="456">
        <v>54.7</v>
      </c>
      <c r="AK41" s="456">
        <v>54.51</v>
      </c>
      <c r="AL41" s="456">
        <v>8.91</v>
      </c>
      <c r="AM41" s="456">
        <v>8.7799999999999994</v>
      </c>
      <c r="AN41" s="456">
        <v>220.6</v>
      </c>
      <c r="AO41" s="456">
        <v>220.52</v>
      </c>
      <c r="AP41" s="456">
        <v>0.51</v>
      </c>
      <c r="AQ41" s="456">
        <v>0.51</v>
      </c>
      <c r="AR41" s="456">
        <v>1.7</v>
      </c>
      <c r="AS41" s="456">
        <v>1.71</v>
      </c>
      <c r="AT41" s="696" t="s">
        <v>740</v>
      </c>
      <c r="AU41" s="695">
        <v>23.3</v>
      </c>
      <c r="AV41" s="456">
        <v>23.32</v>
      </c>
      <c r="AW41" s="456">
        <v>1.23</v>
      </c>
      <c r="AX41" s="456">
        <v>1.21</v>
      </c>
      <c r="AY41" s="456">
        <v>22.63</v>
      </c>
      <c r="AZ41" s="456">
        <v>22.63</v>
      </c>
      <c r="BA41" s="456">
        <v>7.0000000000000007E-2</v>
      </c>
      <c r="BB41" s="456">
        <v>7.0000000000000007E-2</v>
      </c>
      <c r="BC41" s="456">
        <v>60.91</v>
      </c>
      <c r="BD41" s="456">
        <v>60.92</v>
      </c>
      <c r="BE41" s="456">
        <v>9.1199999999999992</v>
      </c>
      <c r="BF41" s="456">
        <v>9.1</v>
      </c>
      <c r="BG41" s="456">
        <v>0.46</v>
      </c>
      <c r="BH41" s="456">
        <v>0.46</v>
      </c>
      <c r="BI41" s="696" t="s">
        <v>740</v>
      </c>
      <c r="BJ41" s="785">
        <v>89.13</v>
      </c>
      <c r="BK41" s="1003">
        <v>89.24</v>
      </c>
      <c r="BL41" s="1003">
        <v>0.17</v>
      </c>
      <c r="BM41" s="1003">
        <v>0.17</v>
      </c>
      <c r="BN41" s="1003">
        <v>117.17</v>
      </c>
      <c r="BO41" s="1003">
        <v>117.14</v>
      </c>
      <c r="BP41" s="785">
        <v>2.72</v>
      </c>
      <c r="BQ41" s="1003">
        <v>2.75</v>
      </c>
      <c r="BR41" s="785">
        <v>23.12</v>
      </c>
      <c r="BS41" s="785">
        <v>23.11</v>
      </c>
      <c r="BT41" s="785">
        <v>84.92</v>
      </c>
      <c r="BU41" s="785">
        <v>84.9</v>
      </c>
      <c r="BV41" s="785">
        <v>106.38</v>
      </c>
      <c r="BW41" s="785">
        <v>104.41</v>
      </c>
    </row>
    <row r="42" spans="1:75" s="224" customFormat="1" ht="10.7" customHeight="1">
      <c r="A42" s="806" t="s">
        <v>2114</v>
      </c>
      <c r="B42" s="1587">
        <v>63.341738999999997</v>
      </c>
      <c r="C42" s="1587">
        <f>C54</f>
        <v>63.71</v>
      </c>
      <c r="D42" s="1587">
        <v>84.806312000000005</v>
      </c>
      <c r="E42" s="1588">
        <f>E54</f>
        <v>84.81</v>
      </c>
      <c r="F42" s="1587">
        <v>224.924701</v>
      </c>
      <c r="G42" s="1588">
        <f>G54</f>
        <v>224.97</v>
      </c>
      <c r="H42" s="1587">
        <v>66.165549999999996</v>
      </c>
      <c r="I42" s="1587">
        <f t="shared" ref="I42" si="1">I54</f>
        <v>68.39</v>
      </c>
      <c r="J42" s="1587">
        <v>12.812291999999999</v>
      </c>
      <c r="K42" s="1587">
        <f>K54</f>
        <v>13.13</v>
      </c>
      <c r="L42" s="1587">
        <v>13.594389</v>
      </c>
      <c r="M42" s="1587">
        <f>M54</f>
        <v>13.57</v>
      </c>
      <c r="N42" s="1587">
        <v>101.153004</v>
      </c>
      <c r="O42" s="1587">
        <f>O54</f>
        <v>100.9</v>
      </c>
      <c r="P42" s="806" t="s">
        <v>2114</v>
      </c>
      <c r="Q42" s="686">
        <v>10.933994999999999</v>
      </c>
      <c r="R42" s="686">
        <f>R54</f>
        <v>10.92</v>
      </c>
      <c r="S42" s="686">
        <v>1.150649</v>
      </c>
      <c r="T42" s="686">
        <f>T54</f>
        <v>1.1399999999999999</v>
      </c>
      <c r="U42" s="686">
        <v>5.8910000000000004E-3</v>
      </c>
      <c r="V42" s="686">
        <f>V54</f>
        <v>0.01</v>
      </c>
      <c r="W42" s="686">
        <v>2.019E-3</v>
      </c>
      <c r="X42" s="686">
        <f>X54</f>
        <v>0</v>
      </c>
      <c r="Y42" s="686">
        <v>0.79669900000000005</v>
      </c>
      <c r="Z42" s="686">
        <f>Z54</f>
        <v>0.77</v>
      </c>
      <c r="AA42" s="686">
        <v>279.00494600000002</v>
      </c>
      <c r="AB42" s="686">
        <f>AB54</f>
        <v>281.68</v>
      </c>
      <c r="AC42" s="686">
        <v>20.559958000000002</v>
      </c>
      <c r="AD42" s="686">
        <f>AD54</f>
        <v>20.420000000000002</v>
      </c>
      <c r="AE42" s="806" t="s">
        <v>2114</v>
      </c>
      <c r="AF42" s="686">
        <v>6.0921000000000003E-2</v>
      </c>
      <c r="AG42" s="686">
        <f>AG54</f>
        <v>0.05</v>
      </c>
      <c r="AH42" s="686">
        <v>0.76285199999999997</v>
      </c>
      <c r="AI42" s="686">
        <f>AI54</f>
        <v>0.77</v>
      </c>
      <c r="AJ42" s="686">
        <v>58.96931</v>
      </c>
      <c r="AK42" s="686">
        <f>AK54</f>
        <v>59.29</v>
      </c>
      <c r="AL42" s="686">
        <v>9.6923999999999992</v>
      </c>
      <c r="AM42" s="686">
        <f>AM54</f>
        <v>9.9</v>
      </c>
      <c r="AN42" s="686">
        <v>220.282085</v>
      </c>
      <c r="AO42" s="686">
        <f>AO54</f>
        <v>220.29</v>
      </c>
      <c r="AP42" s="686">
        <v>0.52952200000000005</v>
      </c>
      <c r="AQ42" s="686">
        <f>AQ54</f>
        <v>0.54</v>
      </c>
      <c r="AR42" s="686">
        <v>1.751452</v>
      </c>
      <c r="AS42" s="686">
        <f>AS54</f>
        <v>1.74</v>
      </c>
      <c r="AT42" s="806" t="s">
        <v>2114</v>
      </c>
      <c r="AU42" s="807">
        <v>23.249677999999999</v>
      </c>
      <c r="AV42" s="686">
        <f>AV54</f>
        <v>22.91</v>
      </c>
      <c r="AW42" s="686">
        <v>1.13683</v>
      </c>
      <c r="AX42" s="686">
        <f>AX54</f>
        <v>1.1599999999999999</v>
      </c>
      <c r="AY42" s="686">
        <v>22.610361999999999</v>
      </c>
      <c r="AZ42" s="686">
        <f>AZ54</f>
        <v>22.61</v>
      </c>
      <c r="BA42" s="686">
        <v>7.4756000000000003E-2</v>
      </c>
      <c r="BB42" s="686">
        <f>BB54</f>
        <v>0.08</v>
      </c>
      <c r="BC42" s="686">
        <v>62.987192999999998</v>
      </c>
      <c r="BD42" s="686">
        <f>BD54</f>
        <v>63.04</v>
      </c>
      <c r="BE42" s="686">
        <v>9.8980940000000004</v>
      </c>
      <c r="BF42" s="686">
        <f>BF54</f>
        <v>9.9499999999999993</v>
      </c>
      <c r="BG42" s="686">
        <v>0.44517299999999999</v>
      </c>
      <c r="BH42" s="686">
        <f>BH54</f>
        <v>0.43</v>
      </c>
      <c r="BI42" s="806" t="s">
        <v>2114</v>
      </c>
      <c r="BJ42" s="1587">
        <v>93.197113000000002</v>
      </c>
      <c r="BK42" s="686">
        <f>BK54</f>
        <v>92.11</v>
      </c>
      <c r="BL42" s="1587">
        <v>6.0878000000000002E-2</v>
      </c>
      <c r="BM42" s="686">
        <f>BM54</f>
        <v>0.03</v>
      </c>
      <c r="BN42" s="1587">
        <v>120.843248</v>
      </c>
      <c r="BO42" s="686">
        <f>BO54</f>
        <v>121.01</v>
      </c>
      <c r="BP42" s="1587">
        <v>2.7461980000000001</v>
      </c>
      <c r="BQ42" s="686">
        <f>BQ54</f>
        <v>2.65</v>
      </c>
      <c r="BR42" s="1587">
        <v>23.088276</v>
      </c>
      <c r="BS42" s="686">
        <f>BS54</f>
        <v>23.09</v>
      </c>
      <c r="BT42" s="1587">
        <v>84.806312000000005</v>
      </c>
      <c r="BU42" s="686">
        <f>BU54</f>
        <v>84.81</v>
      </c>
      <c r="BV42" s="1587">
        <v>114.20348300000001</v>
      </c>
      <c r="BW42" s="686">
        <f>BW54</f>
        <v>117.36</v>
      </c>
    </row>
    <row r="43" spans="1:75" s="224" customFormat="1" ht="10.7" customHeight="1">
      <c r="A43" s="696" t="s">
        <v>742</v>
      </c>
      <c r="B43" s="785">
        <v>59.57</v>
      </c>
      <c r="C43" s="785">
        <v>60.95</v>
      </c>
      <c r="D43" s="785">
        <v>84.81</v>
      </c>
      <c r="E43" s="785">
        <v>84.8</v>
      </c>
      <c r="F43" s="1003">
        <v>224.93</v>
      </c>
      <c r="G43" s="785">
        <v>224.93</v>
      </c>
      <c r="H43" s="785">
        <v>62.8</v>
      </c>
      <c r="I43" s="785">
        <v>63.56</v>
      </c>
      <c r="J43" s="785">
        <v>12.1</v>
      </c>
      <c r="K43" s="785">
        <v>12.13</v>
      </c>
      <c r="L43" s="785">
        <v>13.03</v>
      </c>
      <c r="M43" s="785">
        <v>13.44</v>
      </c>
      <c r="N43" s="785">
        <v>97.05</v>
      </c>
      <c r="O43" s="785">
        <v>100</v>
      </c>
      <c r="P43" s="696" t="s">
        <v>742</v>
      </c>
      <c r="Q43" s="456">
        <v>10.94</v>
      </c>
      <c r="R43" s="456">
        <v>10.94</v>
      </c>
      <c r="S43" s="456">
        <v>1.1299999999999999</v>
      </c>
      <c r="T43" s="456">
        <v>1.1299999999999999</v>
      </c>
      <c r="U43" s="456">
        <v>0.01</v>
      </c>
      <c r="V43" s="456">
        <v>0.01</v>
      </c>
      <c r="W43" s="456">
        <v>0</v>
      </c>
      <c r="X43" s="456">
        <v>0</v>
      </c>
      <c r="Y43" s="456">
        <v>0.79</v>
      </c>
      <c r="Z43" s="456">
        <v>0.81</v>
      </c>
      <c r="AA43" s="456">
        <v>275.95999999999998</v>
      </c>
      <c r="AB43" s="456">
        <v>277.31</v>
      </c>
      <c r="AC43" s="456">
        <v>19.89</v>
      </c>
      <c r="AD43" s="456">
        <v>19.989999999999998</v>
      </c>
      <c r="AE43" s="696" t="s">
        <v>742</v>
      </c>
      <c r="AF43" s="456">
        <v>0.06</v>
      </c>
      <c r="AG43" s="456">
        <v>0.06</v>
      </c>
      <c r="AH43" s="456">
        <v>0.74</v>
      </c>
      <c r="AI43" s="456">
        <v>0.75</v>
      </c>
      <c r="AJ43" s="456">
        <v>55.84</v>
      </c>
      <c r="AK43" s="456">
        <v>56.55</v>
      </c>
      <c r="AL43" s="456">
        <v>9.1199999999999992</v>
      </c>
      <c r="AM43" s="456">
        <v>9.39</v>
      </c>
      <c r="AN43" s="456">
        <v>220.3</v>
      </c>
      <c r="AO43" s="456">
        <v>220.26</v>
      </c>
      <c r="AP43" s="456">
        <v>0.51</v>
      </c>
      <c r="AQ43" s="456">
        <v>0.51</v>
      </c>
      <c r="AR43" s="456">
        <v>1.71</v>
      </c>
      <c r="AS43" s="456">
        <v>1.7</v>
      </c>
      <c r="AT43" s="696" t="s">
        <v>742</v>
      </c>
      <c r="AU43" s="695">
        <v>23.28</v>
      </c>
      <c r="AV43" s="456">
        <v>23.29</v>
      </c>
      <c r="AW43" s="456">
        <v>1.19</v>
      </c>
      <c r="AX43" s="456">
        <v>1.17</v>
      </c>
      <c r="AY43" s="456">
        <v>22.61</v>
      </c>
      <c r="AZ43" s="456">
        <v>22.61</v>
      </c>
      <c r="BA43" s="456">
        <v>7.0000000000000007E-2</v>
      </c>
      <c r="BB43" s="456">
        <v>7.0000000000000007E-2</v>
      </c>
      <c r="BC43" s="456">
        <v>61.1</v>
      </c>
      <c r="BD43" s="456">
        <v>61.74</v>
      </c>
      <c r="BE43" s="456">
        <v>9.3699999999999992</v>
      </c>
      <c r="BF43" s="456">
        <v>9.7200000000000006</v>
      </c>
      <c r="BG43" s="456">
        <v>0.46</v>
      </c>
      <c r="BH43" s="456">
        <v>0.46</v>
      </c>
      <c r="BI43" s="696" t="s">
        <v>742</v>
      </c>
      <c r="BJ43" s="785">
        <v>90.68</v>
      </c>
      <c r="BK43" s="1003">
        <v>92.92</v>
      </c>
      <c r="BL43" s="1003">
        <v>7.0000000000000007E-2</v>
      </c>
      <c r="BM43" s="1003">
        <v>7.0000000000000007E-2</v>
      </c>
      <c r="BN43" s="785">
        <v>117.8</v>
      </c>
      <c r="BO43" s="785">
        <v>119.3</v>
      </c>
      <c r="BP43" s="785">
        <v>2.7</v>
      </c>
      <c r="BQ43" s="785">
        <v>2.7</v>
      </c>
      <c r="BR43" s="785">
        <v>23.09</v>
      </c>
      <c r="BS43" s="785">
        <v>23.09</v>
      </c>
      <c r="BT43" s="785">
        <v>84.81</v>
      </c>
      <c r="BU43" s="785">
        <v>84.8</v>
      </c>
      <c r="BV43" s="785">
        <v>107.26</v>
      </c>
      <c r="BW43" s="785">
        <v>110.21</v>
      </c>
    </row>
    <row r="44" spans="1:75" s="224" customFormat="1" ht="10.7" customHeight="1">
      <c r="A44" s="699" t="s">
        <v>743</v>
      </c>
      <c r="B44" s="782">
        <v>61</v>
      </c>
      <c r="C44" s="782">
        <v>62.49</v>
      </c>
      <c r="D44" s="782">
        <v>84.84</v>
      </c>
      <c r="E44" s="782">
        <v>84.83</v>
      </c>
      <c r="F44" s="995">
        <v>225.03</v>
      </c>
      <c r="G44" s="782">
        <v>225</v>
      </c>
      <c r="H44" s="782">
        <v>64.02</v>
      </c>
      <c r="I44" s="782">
        <v>64.760000000000005</v>
      </c>
      <c r="J44" s="782">
        <v>12.23</v>
      </c>
      <c r="K44" s="782">
        <v>12.36</v>
      </c>
      <c r="L44" s="782">
        <v>13.47</v>
      </c>
      <c r="M44" s="782">
        <v>13.57</v>
      </c>
      <c r="N44" s="782">
        <v>100.29</v>
      </c>
      <c r="O44" s="782">
        <v>100.98</v>
      </c>
      <c r="P44" s="699" t="s">
        <v>743</v>
      </c>
      <c r="Q44" s="472">
        <v>10.95</v>
      </c>
      <c r="R44" s="472">
        <v>10.94</v>
      </c>
      <c r="S44" s="472">
        <v>1.1399999999999999</v>
      </c>
      <c r="T44" s="472">
        <v>1.1599999999999999</v>
      </c>
      <c r="U44" s="472">
        <v>0.01</v>
      </c>
      <c r="V44" s="472">
        <v>0.01</v>
      </c>
      <c r="W44" s="472">
        <v>0</v>
      </c>
      <c r="X44" s="472">
        <v>0</v>
      </c>
      <c r="Y44" s="472">
        <v>0.8</v>
      </c>
      <c r="Z44" s="472">
        <v>0.81</v>
      </c>
      <c r="AA44" s="472">
        <v>277.45999999999998</v>
      </c>
      <c r="AB44" s="472">
        <v>277.66000000000003</v>
      </c>
      <c r="AC44" s="472">
        <v>20.260000000000002</v>
      </c>
      <c r="AD44" s="472">
        <v>20.36</v>
      </c>
      <c r="AE44" s="699" t="s">
        <v>743</v>
      </c>
      <c r="AF44" s="472">
        <v>0.06</v>
      </c>
      <c r="AG44" s="472">
        <v>0.06</v>
      </c>
      <c r="AH44" s="472">
        <v>0.76</v>
      </c>
      <c r="AI44" s="472">
        <v>0.76</v>
      </c>
      <c r="AJ44" s="472">
        <v>55.99</v>
      </c>
      <c r="AK44" s="472">
        <v>57.2</v>
      </c>
      <c r="AL44" s="472">
        <v>9.4700000000000006</v>
      </c>
      <c r="AM44" s="472">
        <v>9.64</v>
      </c>
      <c r="AN44" s="472">
        <v>220.4</v>
      </c>
      <c r="AO44" s="472">
        <v>220.32</v>
      </c>
      <c r="AP44" s="472">
        <v>0.5</v>
      </c>
      <c r="AQ44" s="472">
        <v>0.51</v>
      </c>
      <c r="AR44" s="472">
        <v>1.74</v>
      </c>
      <c r="AS44" s="472">
        <v>1.75</v>
      </c>
      <c r="AT44" s="699" t="s">
        <v>743</v>
      </c>
      <c r="AU44" s="545">
        <v>23.28</v>
      </c>
      <c r="AV44" s="472">
        <v>23.29</v>
      </c>
      <c r="AW44" s="472">
        <v>1.1499999999999999</v>
      </c>
      <c r="AX44" s="472">
        <v>1.1399999999999999</v>
      </c>
      <c r="AY44" s="472">
        <v>22.62</v>
      </c>
      <c r="AZ44" s="472">
        <v>22.62</v>
      </c>
      <c r="BA44" s="472">
        <v>7.0000000000000007E-2</v>
      </c>
      <c r="BB44" s="472">
        <v>7.0000000000000007E-2</v>
      </c>
      <c r="BC44" s="472">
        <v>61.93</v>
      </c>
      <c r="BD44" s="472">
        <v>62.46</v>
      </c>
      <c r="BE44" s="472">
        <v>9.74</v>
      </c>
      <c r="BF44" s="472">
        <v>9.84</v>
      </c>
      <c r="BG44" s="472">
        <v>0.46</v>
      </c>
      <c r="BH44" s="472">
        <v>0.46</v>
      </c>
      <c r="BI44" s="699" t="s">
        <v>743</v>
      </c>
      <c r="BJ44" s="782">
        <v>93.16</v>
      </c>
      <c r="BK44" s="995">
        <v>93.83</v>
      </c>
      <c r="BL44" s="995">
        <v>7.0000000000000007E-2</v>
      </c>
      <c r="BM44" s="995">
        <v>7.0000000000000007E-2</v>
      </c>
      <c r="BN44" s="782">
        <v>119.78</v>
      </c>
      <c r="BO44" s="782">
        <v>120.32</v>
      </c>
      <c r="BP44" s="782">
        <v>2.72</v>
      </c>
      <c r="BQ44" s="782">
        <v>2.73</v>
      </c>
      <c r="BR44" s="782">
        <v>23.1</v>
      </c>
      <c r="BS44" s="782">
        <v>23.09</v>
      </c>
      <c r="BT44" s="782">
        <v>84.84</v>
      </c>
      <c r="BU44" s="782">
        <v>84.83</v>
      </c>
      <c r="BV44" s="782">
        <v>111.29</v>
      </c>
      <c r="BW44" s="782">
        <v>113.26</v>
      </c>
    </row>
    <row r="45" spans="1:75" s="224" customFormat="1" ht="10.7" customHeight="1">
      <c r="A45" s="696" t="s">
        <v>737</v>
      </c>
      <c r="B45" s="785">
        <v>61.38</v>
      </c>
      <c r="C45" s="785">
        <v>60.47</v>
      </c>
      <c r="D45" s="785">
        <v>84.8</v>
      </c>
      <c r="E45" s="785">
        <v>84.84</v>
      </c>
      <c r="F45" s="785">
        <v>224.9</v>
      </c>
      <c r="G45" s="785">
        <v>224.95</v>
      </c>
      <c r="H45" s="785">
        <v>64.22</v>
      </c>
      <c r="I45" s="785">
        <v>63.37</v>
      </c>
      <c r="J45" s="785">
        <v>12.45</v>
      </c>
      <c r="K45" s="785">
        <v>12.46</v>
      </c>
      <c r="L45" s="785">
        <v>13.44</v>
      </c>
      <c r="M45" s="785">
        <v>13.38</v>
      </c>
      <c r="N45" s="785">
        <v>100.01</v>
      </c>
      <c r="O45" s="785">
        <v>99.64</v>
      </c>
      <c r="P45" s="696" t="s">
        <v>737</v>
      </c>
      <c r="Q45" s="456">
        <v>10.94</v>
      </c>
      <c r="R45" s="456">
        <v>10.95</v>
      </c>
      <c r="S45" s="456">
        <v>1.1499999999999999</v>
      </c>
      <c r="T45" s="456">
        <v>1.1499999999999999</v>
      </c>
      <c r="U45" s="456">
        <v>0.01</v>
      </c>
      <c r="V45" s="456">
        <v>0.01</v>
      </c>
      <c r="W45" s="456">
        <v>0</v>
      </c>
      <c r="X45" s="456">
        <v>0</v>
      </c>
      <c r="Y45" s="456">
        <v>0.8</v>
      </c>
      <c r="Z45" s="456">
        <v>0.8</v>
      </c>
      <c r="AA45" s="456">
        <v>277.23</v>
      </c>
      <c r="AB45" s="456">
        <v>276.94</v>
      </c>
      <c r="AC45" s="456">
        <v>20.43</v>
      </c>
      <c r="AD45" s="456">
        <v>20.399999999999999</v>
      </c>
      <c r="AE45" s="696" t="s">
        <v>737</v>
      </c>
      <c r="AF45" s="456">
        <v>0.06</v>
      </c>
      <c r="AG45" s="456">
        <v>0.06</v>
      </c>
      <c r="AH45" s="456">
        <v>0.76</v>
      </c>
      <c r="AI45" s="456">
        <v>0.75</v>
      </c>
      <c r="AJ45" s="456">
        <v>56.6</v>
      </c>
      <c r="AK45" s="456">
        <v>55.89</v>
      </c>
      <c r="AL45" s="456">
        <v>9.31</v>
      </c>
      <c r="AM45" s="456">
        <v>9.01</v>
      </c>
      <c r="AN45" s="456">
        <v>220.27</v>
      </c>
      <c r="AO45" s="456">
        <v>220.36</v>
      </c>
      <c r="AP45" s="456">
        <v>0.51</v>
      </c>
      <c r="AQ45" s="456">
        <v>0.51</v>
      </c>
      <c r="AR45" s="456">
        <v>1.75</v>
      </c>
      <c r="AS45" s="456">
        <v>1.75</v>
      </c>
      <c r="AT45" s="696" t="s">
        <v>737</v>
      </c>
      <c r="AU45" s="695">
        <v>23.28</v>
      </c>
      <c r="AV45" s="456">
        <v>23.3</v>
      </c>
      <c r="AW45" s="456">
        <v>1.1200000000000001</v>
      </c>
      <c r="AX45" s="456">
        <v>1.08</v>
      </c>
      <c r="AY45" s="456">
        <v>22.61</v>
      </c>
      <c r="AZ45" s="456">
        <v>22.62</v>
      </c>
      <c r="BA45" s="456">
        <v>7.0000000000000007E-2</v>
      </c>
      <c r="BB45" s="456">
        <v>7.0000000000000007E-2</v>
      </c>
      <c r="BC45" s="456">
        <v>62.08</v>
      </c>
      <c r="BD45" s="456">
        <v>61.98</v>
      </c>
      <c r="BE45" s="456">
        <v>9.6</v>
      </c>
      <c r="BF45" s="456">
        <v>9.4499999999999993</v>
      </c>
      <c r="BG45" s="456">
        <v>0.46</v>
      </c>
      <c r="BH45" s="456">
        <v>0.46</v>
      </c>
      <c r="BI45" s="696" t="s">
        <v>737</v>
      </c>
      <c r="BJ45" s="785">
        <v>92.73</v>
      </c>
      <c r="BK45" s="1003">
        <v>92.28</v>
      </c>
      <c r="BL45" s="1003">
        <v>7.0000000000000007E-2</v>
      </c>
      <c r="BM45" s="1003">
        <v>7.0000000000000007E-2</v>
      </c>
      <c r="BN45" s="785">
        <v>119.8</v>
      </c>
      <c r="BO45" s="785">
        <v>119.39</v>
      </c>
      <c r="BP45" s="785">
        <v>2.7</v>
      </c>
      <c r="BQ45" s="785">
        <v>2.68</v>
      </c>
      <c r="BR45" s="785">
        <v>23.09</v>
      </c>
      <c r="BS45" s="785">
        <v>23.1</v>
      </c>
      <c r="BT45" s="785">
        <v>84.8</v>
      </c>
      <c r="BU45" s="785">
        <v>84.84</v>
      </c>
      <c r="BV45" s="785">
        <v>110.07</v>
      </c>
      <c r="BW45" s="785">
        <v>109.13</v>
      </c>
    </row>
    <row r="46" spans="1:75" s="224" customFormat="1" ht="10.7" customHeight="1">
      <c r="A46" s="699" t="s">
        <v>744</v>
      </c>
      <c r="B46" s="782">
        <v>60.51</v>
      </c>
      <c r="C46" s="782">
        <v>59.74</v>
      </c>
      <c r="D46" s="782">
        <v>84.8</v>
      </c>
      <c r="E46" s="782">
        <v>84.8</v>
      </c>
      <c r="F46" s="995">
        <v>224.89</v>
      </c>
      <c r="G46" s="782">
        <v>224.91</v>
      </c>
      <c r="H46" s="782">
        <v>64.209999999999994</v>
      </c>
      <c r="I46" s="782">
        <v>63.66</v>
      </c>
      <c r="J46" s="782">
        <v>12.58</v>
      </c>
      <c r="K46" s="782">
        <v>12.61</v>
      </c>
      <c r="L46" s="782">
        <v>13.42</v>
      </c>
      <c r="M46" s="782">
        <v>13.38</v>
      </c>
      <c r="N46" s="782">
        <v>99.87</v>
      </c>
      <c r="O46" s="782">
        <v>99.6</v>
      </c>
      <c r="P46" s="699" t="s">
        <v>744</v>
      </c>
      <c r="Q46" s="472">
        <v>10.94</v>
      </c>
      <c r="R46" s="472">
        <v>10.94</v>
      </c>
      <c r="S46" s="472">
        <v>1.1499999999999999</v>
      </c>
      <c r="T46" s="472">
        <v>1.1399999999999999</v>
      </c>
      <c r="U46" s="472">
        <v>0.01</v>
      </c>
      <c r="V46" s="472">
        <v>0.01</v>
      </c>
      <c r="W46" s="472">
        <v>0</v>
      </c>
      <c r="X46" s="472">
        <v>0</v>
      </c>
      <c r="Y46" s="472">
        <v>0.81</v>
      </c>
      <c r="Z46" s="472">
        <v>0.81</v>
      </c>
      <c r="AA46" s="472">
        <v>277.14</v>
      </c>
      <c r="AB46" s="472">
        <v>277.35000000000002</v>
      </c>
      <c r="AC46" s="472">
        <v>20.420000000000002</v>
      </c>
      <c r="AD46" s="472">
        <v>20.399999999999999</v>
      </c>
      <c r="AE46" s="699" t="s">
        <v>744</v>
      </c>
      <c r="AF46" s="472">
        <v>7.0000000000000007E-2</v>
      </c>
      <c r="AG46" s="472">
        <v>7.0000000000000007E-2</v>
      </c>
      <c r="AH46" s="472">
        <v>0.76</v>
      </c>
      <c r="AI46" s="472">
        <v>0.76</v>
      </c>
      <c r="AJ46" s="472">
        <v>56.3</v>
      </c>
      <c r="AK46" s="472">
        <v>56.29</v>
      </c>
      <c r="AL46" s="472">
        <v>9.15</v>
      </c>
      <c r="AM46" s="472">
        <v>9.0500000000000007</v>
      </c>
      <c r="AN46" s="472">
        <v>220.26</v>
      </c>
      <c r="AO46" s="472">
        <v>220.23</v>
      </c>
      <c r="AP46" s="472">
        <v>0.52</v>
      </c>
      <c r="AQ46" s="472">
        <v>0.53</v>
      </c>
      <c r="AR46" s="472">
        <v>1.75</v>
      </c>
      <c r="AS46" s="472">
        <v>1.75</v>
      </c>
      <c r="AT46" s="699" t="s">
        <v>744</v>
      </c>
      <c r="AU46" s="545">
        <v>23.29</v>
      </c>
      <c r="AV46" s="472">
        <v>23.29</v>
      </c>
      <c r="AW46" s="472">
        <v>1.0900000000000001</v>
      </c>
      <c r="AX46" s="472">
        <v>1.07</v>
      </c>
      <c r="AY46" s="472">
        <v>22.61</v>
      </c>
      <c r="AZ46" s="472">
        <v>22.61</v>
      </c>
      <c r="BA46" s="472">
        <v>7.0000000000000007E-2</v>
      </c>
      <c r="BB46" s="472">
        <v>7.0000000000000007E-2</v>
      </c>
      <c r="BC46" s="472">
        <v>62.38</v>
      </c>
      <c r="BD46" s="472">
        <v>62.11</v>
      </c>
      <c r="BE46" s="472">
        <v>9.6</v>
      </c>
      <c r="BF46" s="472">
        <v>9.6</v>
      </c>
      <c r="BG46" s="472">
        <v>0.46</v>
      </c>
      <c r="BH46" s="472">
        <v>0.46</v>
      </c>
      <c r="BI46" s="699" t="s">
        <v>744</v>
      </c>
      <c r="BJ46" s="782">
        <v>92.92</v>
      </c>
      <c r="BK46" s="995">
        <v>93.13</v>
      </c>
      <c r="BL46" s="995">
        <v>7.0000000000000007E-2</v>
      </c>
      <c r="BM46" s="995">
        <v>7.0000000000000007E-2</v>
      </c>
      <c r="BN46" s="782">
        <v>119.91</v>
      </c>
      <c r="BO46" s="782">
        <v>119.74</v>
      </c>
      <c r="BP46" s="782">
        <v>2.71</v>
      </c>
      <c r="BQ46" s="782">
        <v>2.72</v>
      </c>
      <c r="BR46" s="782">
        <v>23.09</v>
      </c>
      <c r="BS46" s="782">
        <v>23.09</v>
      </c>
      <c r="BT46" s="782">
        <v>84.8</v>
      </c>
      <c r="BU46" s="782">
        <v>84.8</v>
      </c>
      <c r="BV46" s="782">
        <v>110.13</v>
      </c>
      <c r="BW46" s="782">
        <v>110.09</v>
      </c>
    </row>
    <row r="47" spans="1:75" s="224" customFormat="1" ht="10.7" customHeight="1">
      <c r="A47" s="696" t="s">
        <v>745</v>
      </c>
      <c r="B47" s="785">
        <v>61.58</v>
      </c>
      <c r="C47" s="785">
        <v>62.62</v>
      </c>
      <c r="D47" s="785">
        <v>84.8</v>
      </c>
      <c r="E47" s="785">
        <v>84.8</v>
      </c>
      <c r="F47" s="1003">
        <v>224.91</v>
      </c>
      <c r="G47" s="785">
        <v>224.9</v>
      </c>
      <c r="H47" s="785">
        <v>64.77</v>
      </c>
      <c r="I47" s="785">
        <v>65.290000000000006</v>
      </c>
      <c r="J47" s="785">
        <v>12.82</v>
      </c>
      <c r="K47" s="785">
        <v>12.9</v>
      </c>
      <c r="L47" s="785">
        <v>13.46</v>
      </c>
      <c r="M47" s="785">
        <v>13.63</v>
      </c>
      <c r="N47" s="785">
        <v>100.27</v>
      </c>
      <c r="O47" s="785">
        <v>101.45</v>
      </c>
      <c r="P47" s="696" t="s">
        <v>745</v>
      </c>
      <c r="Q47" s="456">
        <v>10.94</v>
      </c>
      <c r="R47" s="456">
        <v>10.94</v>
      </c>
      <c r="S47" s="456">
        <v>1.1399999999999999</v>
      </c>
      <c r="T47" s="456">
        <v>1.1499999999999999</v>
      </c>
      <c r="U47" s="456">
        <v>0.01</v>
      </c>
      <c r="V47" s="456">
        <v>0.01</v>
      </c>
      <c r="W47" s="456">
        <v>0</v>
      </c>
      <c r="X47" s="456">
        <v>0</v>
      </c>
      <c r="Y47" s="456">
        <v>0.81</v>
      </c>
      <c r="Z47" s="456">
        <v>0.81</v>
      </c>
      <c r="AA47" s="456">
        <v>277.39</v>
      </c>
      <c r="AB47" s="456">
        <v>277.58</v>
      </c>
      <c r="AC47" s="456">
        <v>20.61</v>
      </c>
      <c r="AD47" s="456">
        <v>20.84</v>
      </c>
      <c r="AE47" s="696" t="s">
        <v>745</v>
      </c>
      <c r="AF47" s="456">
        <v>7.0000000000000007E-2</v>
      </c>
      <c r="AG47" s="456">
        <v>0.06</v>
      </c>
      <c r="AH47" s="456">
        <v>0.76</v>
      </c>
      <c r="AI47" s="456">
        <v>0.76</v>
      </c>
      <c r="AJ47" s="456">
        <v>58.08</v>
      </c>
      <c r="AK47" s="456">
        <v>59.58</v>
      </c>
      <c r="AL47" s="456">
        <v>9.31</v>
      </c>
      <c r="AM47" s="456">
        <v>9.6</v>
      </c>
      <c r="AN47" s="456">
        <v>220.26</v>
      </c>
      <c r="AO47" s="456">
        <v>220.26</v>
      </c>
      <c r="AP47" s="456">
        <v>0.53</v>
      </c>
      <c r="AQ47" s="456">
        <v>0.53</v>
      </c>
      <c r="AR47" s="456">
        <v>1.76</v>
      </c>
      <c r="AS47" s="456">
        <v>1.76</v>
      </c>
      <c r="AT47" s="696" t="s">
        <v>745</v>
      </c>
      <c r="AU47" s="695">
        <v>23.26</v>
      </c>
      <c r="AV47" s="456">
        <v>23.29</v>
      </c>
      <c r="AW47" s="456">
        <v>1.1000000000000001</v>
      </c>
      <c r="AX47" s="456">
        <v>1.1200000000000001</v>
      </c>
      <c r="AY47" s="456">
        <v>22.61</v>
      </c>
      <c r="AZ47" s="456">
        <v>22.61</v>
      </c>
      <c r="BA47" s="456">
        <v>0.08</v>
      </c>
      <c r="BB47" s="456">
        <v>0.08</v>
      </c>
      <c r="BC47" s="456">
        <v>62.89</v>
      </c>
      <c r="BD47" s="456">
        <v>63.35</v>
      </c>
      <c r="BE47" s="456">
        <v>9.8000000000000007</v>
      </c>
      <c r="BF47" s="456">
        <v>9.98</v>
      </c>
      <c r="BG47" s="456">
        <v>0.46</v>
      </c>
      <c r="BH47" s="456">
        <v>0.46</v>
      </c>
      <c r="BI47" s="696" t="s">
        <v>745</v>
      </c>
      <c r="BJ47" s="785">
        <v>93.04</v>
      </c>
      <c r="BK47" s="1003">
        <v>93.77</v>
      </c>
      <c r="BL47" s="1003">
        <v>7.0000000000000007E-2</v>
      </c>
      <c r="BM47" s="1003">
        <v>7.0000000000000007E-2</v>
      </c>
      <c r="BN47" s="785">
        <v>120.51</v>
      </c>
      <c r="BO47" s="785">
        <v>120.87</v>
      </c>
      <c r="BP47" s="785">
        <v>2.78</v>
      </c>
      <c r="BQ47" s="785">
        <v>2.8</v>
      </c>
      <c r="BR47" s="785">
        <v>23.09</v>
      </c>
      <c r="BS47" s="785">
        <v>23.09</v>
      </c>
      <c r="BT47" s="785">
        <v>84.8</v>
      </c>
      <c r="BU47" s="785">
        <v>84.8</v>
      </c>
      <c r="BV47" s="785">
        <v>111.89</v>
      </c>
      <c r="BW47" s="785">
        <v>112.92</v>
      </c>
    </row>
    <row r="48" spans="1:75" s="224" customFormat="1" ht="10.7" customHeight="1">
      <c r="A48" s="699" t="s">
        <v>738</v>
      </c>
      <c r="B48" s="782">
        <v>63.76</v>
      </c>
      <c r="C48" s="782">
        <v>65.17</v>
      </c>
      <c r="D48" s="782">
        <v>84.8</v>
      </c>
      <c r="E48" s="782">
        <v>84.8</v>
      </c>
      <c r="F48" s="782">
        <v>224.9</v>
      </c>
      <c r="G48" s="782">
        <v>224.91</v>
      </c>
      <c r="H48" s="782">
        <v>66.11</v>
      </c>
      <c r="I48" s="782">
        <v>66.459999999999994</v>
      </c>
      <c r="J48" s="782">
        <v>12.96</v>
      </c>
      <c r="K48" s="782">
        <v>13</v>
      </c>
      <c r="L48" s="782">
        <v>13.85</v>
      </c>
      <c r="M48" s="782">
        <v>14.02</v>
      </c>
      <c r="N48" s="782">
        <v>103.09</v>
      </c>
      <c r="O48" s="782">
        <v>104.28</v>
      </c>
      <c r="P48" s="699" t="s">
        <v>738</v>
      </c>
      <c r="Q48" s="472">
        <v>10.94</v>
      </c>
      <c r="R48" s="472">
        <v>10.94</v>
      </c>
      <c r="S48" s="472">
        <v>1.1499999999999999</v>
      </c>
      <c r="T48" s="472">
        <v>1.1599999999999999</v>
      </c>
      <c r="U48" s="472">
        <v>0.01</v>
      </c>
      <c r="V48" s="472">
        <v>0.01</v>
      </c>
      <c r="W48" s="472">
        <v>0</v>
      </c>
      <c r="X48" s="472">
        <v>0</v>
      </c>
      <c r="Y48" s="472">
        <v>0.82</v>
      </c>
      <c r="Z48" s="472">
        <v>0.82</v>
      </c>
      <c r="AA48" s="472">
        <v>278.12</v>
      </c>
      <c r="AB48" s="472">
        <v>278.58999999999997</v>
      </c>
      <c r="AC48" s="472">
        <v>20.9</v>
      </c>
      <c r="AD48" s="472">
        <v>21.12</v>
      </c>
      <c r="AE48" s="699" t="s">
        <v>738</v>
      </c>
      <c r="AF48" s="472">
        <v>0.06</v>
      </c>
      <c r="AG48" s="472">
        <v>0.06</v>
      </c>
      <c r="AH48" s="472">
        <v>0.77</v>
      </c>
      <c r="AI48" s="472">
        <v>0.77</v>
      </c>
      <c r="AJ48" s="472">
        <v>60.07</v>
      </c>
      <c r="AK48" s="472">
        <v>61.11</v>
      </c>
      <c r="AL48" s="472">
        <v>9.7200000000000006</v>
      </c>
      <c r="AM48" s="472">
        <v>9.93</v>
      </c>
      <c r="AN48" s="472">
        <v>220.26</v>
      </c>
      <c r="AO48" s="472">
        <v>220.26</v>
      </c>
      <c r="AP48" s="472">
        <v>0.53</v>
      </c>
      <c r="AQ48" s="472">
        <v>0.53</v>
      </c>
      <c r="AR48" s="472">
        <v>1.76</v>
      </c>
      <c r="AS48" s="472">
        <v>1.77</v>
      </c>
      <c r="AT48" s="699" t="s">
        <v>738</v>
      </c>
      <c r="AU48" s="545">
        <v>23.27</v>
      </c>
      <c r="AV48" s="472">
        <v>23.29</v>
      </c>
      <c r="AW48" s="472">
        <v>1.1399999999999999</v>
      </c>
      <c r="AX48" s="472">
        <v>1.1499999999999999</v>
      </c>
      <c r="AY48" s="472">
        <v>22.61</v>
      </c>
      <c r="AZ48" s="472">
        <v>22.6</v>
      </c>
      <c r="BA48" s="472">
        <v>0.08</v>
      </c>
      <c r="BB48" s="472">
        <v>0.08</v>
      </c>
      <c r="BC48" s="472">
        <v>63.61</v>
      </c>
      <c r="BD48" s="472">
        <v>64.09</v>
      </c>
      <c r="BE48" s="472">
        <v>10.14</v>
      </c>
      <c r="BF48" s="472">
        <v>10.33</v>
      </c>
      <c r="BG48" s="472">
        <v>0.45</v>
      </c>
      <c r="BH48" s="472">
        <v>0.46</v>
      </c>
      <c r="BI48" s="699" t="s">
        <v>738</v>
      </c>
      <c r="BJ48" s="782">
        <v>95.34</v>
      </c>
      <c r="BK48" s="995">
        <v>96.23</v>
      </c>
      <c r="BL48" s="995">
        <v>7.0000000000000007E-2</v>
      </c>
      <c r="BM48" s="995">
        <v>7.0000000000000007E-2</v>
      </c>
      <c r="BN48" s="782">
        <v>121.96</v>
      </c>
      <c r="BO48" s="782">
        <v>122.14</v>
      </c>
      <c r="BP48" s="782">
        <v>2.82</v>
      </c>
      <c r="BQ48" s="782">
        <v>2.83</v>
      </c>
      <c r="BR48" s="782">
        <v>23.09</v>
      </c>
      <c r="BS48" s="782">
        <v>23.09</v>
      </c>
      <c r="BT48" s="782">
        <v>84.8</v>
      </c>
      <c r="BU48" s="782">
        <v>84.8</v>
      </c>
      <c r="BV48" s="782">
        <v>113.86</v>
      </c>
      <c r="BW48" s="782">
        <v>115.54</v>
      </c>
    </row>
    <row r="49" spans="1:77" s="224" customFormat="1" ht="10.7" customHeight="1">
      <c r="A49" s="696" t="s">
        <v>746</v>
      </c>
      <c r="B49" s="785">
        <v>65.459999999999994</v>
      </c>
      <c r="C49" s="785">
        <v>64.81</v>
      </c>
      <c r="D49" s="785">
        <v>84.8</v>
      </c>
      <c r="E49" s="785">
        <v>84.8</v>
      </c>
      <c r="F49" s="1003">
        <v>224.93</v>
      </c>
      <c r="G49" s="785">
        <v>224.94</v>
      </c>
      <c r="H49" s="785">
        <v>66.66</v>
      </c>
      <c r="I49" s="785">
        <v>66.36</v>
      </c>
      <c r="J49" s="785">
        <v>13.09</v>
      </c>
      <c r="K49" s="785">
        <v>13.11</v>
      </c>
      <c r="L49" s="785">
        <v>13.88</v>
      </c>
      <c r="M49" s="785">
        <v>13.84</v>
      </c>
      <c r="N49" s="785">
        <v>103.27</v>
      </c>
      <c r="O49" s="785">
        <v>102.92</v>
      </c>
      <c r="P49" s="696" t="s">
        <v>746</v>
      </c>
      <c r="Q49" s="456">
        <v>10.94</v>
      </c>
      <c r="R49" s="456">
        <v>10.94</v>
      </c>
      <c r="S49" s="456">
        <v>1.1599999999999999</v>
      </c>
      <c r="T49" s="456">
        <v>1.1599999999999999</v>
      </c>
      <c r="U49" s="456">
        <v>0.01</v>
      </c>
      <c r="V49" s="456">
        <v>0.01</v>
      </c>
      <c r="W49" s="456">
        <v>0</v>
      </c>
      <c r="X49" s="456">
        <v>0</v>
      </c>
      <c r="Y49" s="456">
        <v>0.82</v>
      </c>
      <c r="Z49" s="456">
        <v>0.81</v>
      </c>
      <c r="AA49" s="456">
        <v>279.64</v>
      </c>
      <c r="AB49" s="456">
        <v>280.01</v>
      </c>
      <c r="AC49" s="456">
        <v>21.02</v>
      </c>
      <c r="AD49" s="456">
        <v>20.98</v>
      </c>
      <c r="AE49" s="696" t="s">
        <v>746</v>
      </c>
      <c r="AF49" s="456">
        <v>0.06</v>
      </c>
      <c r="AG49" s="456">
        <v>0.06</v>
      </c>
      <c r="AH49" s="456">
        <v>0.77</v>
      </c>
      <c r="AI49" s="456">
        <v>0.77</v>
      </c>
      <c r="AJ49" s="456">
        <v>61</v>
      </c>
      <c r="AK49" s="456">
        <v>60.99</v>
      </c>
      <c r="AL49" s="456">
        <v>9.9499999999999993</v>
      </c>
      <c r="AM49" s="456">
        <v>9.91</v>
      </c>
      <c r="AN49" s="456">
        <v>220.26</v>
      </c>
      <c r="AO49" s="456">
        <v>220.27</v>
      </c>
      <c r="AP49" s="456">
        <v>0.53</v>
      </c>
      <c r="AQ49" s="456">
        <v>0.53</v>
      </c>
      <c r="AR49" s="456">
        <v>1.76</v>
      </c>
      <c r="AS49" s="456">
        <v>1.76</v>
      </c>
      <c r="AT49" s="696" t="s">
        <v>746</v>
      </c>
      <c r="AU49" s="695">
        <v>23.28</v>
      </c>
      <c r="AV49" s="456">
        <v>23.29</v>
      </c>
      <c r="AW49" s="456">
        <v>1.1399999999999999</v>
      </c>
      <c r="AX49" s="456">
        <v>1.1200000000000001</v>
      </c>
      <c r="AY49" s="456">
        <v>22.61</v>
      </c>
      <c r="AZ49" s="456">
        <v>22.61</v>
      </c>
      <c r="BA49" s="456">
        <v>0.08</v>
      </c>
      <c r="BB49" s="456">
        <v>0.08</v>
      </c>
      <c r="BC49" s="456">
        <v>63.97</v>
      </c>
      <c r="BD49" s="456">
        <v>63.81</v>
      </c>
      <c r="BE49" s="456">
        <v>10.23</v>
      </c>
      <c r="BF49" s="456">
        <v>10.14</v>
      </c>
      <c r="BG49" s="456">
        <v>0.44</v>
      </c>
      <c r="BH49" s="456">
        <v>0.44</v>
      </c>
      <c r="BI49" s="696" t="s">
        <v>746</v>
      </c>
      <c r="BJ49" s="785">
        <v>95.67</v>
      </c>
      <c r="BK49" s="1003">
        <v>95.24</v>
      </c>
      <c r="BL49" s="1003">
        <v>7.0000000000000007E-2</v>
      </c>
      <c r="BM49" s="1003">
        <v>7.0000000000000007E-2</v>
      </c>
      <c r="BN49" s="785">
        <v>122.31</v>
      </c>
      <c r="BO49" s="785">
        <v>122.18</v>
      </c>
      <c r="BP49" s="785">
        <v>2.83</v>
      </c>
      <c r="BQ49" s="785">
        <v>2.84</v>
      </c>
      <c r="BR49" s="785">
        <v>23.09</v>
      </c>
      <c r="BS49" s="785">
        <v>23.09</v>
      </c>
      <c r="BT49" s="785">
        <v>84.8</v>
      </c>
      <c r="BU49" s="785">
        <v>84.8</v>
      </c>
      <c r="BV49" s="785">
        <v>115.64</v>
      </c>
      <c r="BW49" s="785">
        <v>116.21</v>
      </c>
    </row>
    <row r="50" spans="1:77" s="224" customFormat="1" ht="10.7" customHeight="1">
      <c r="A50" s="699" t="s">
        <v>747</v>
      </c>
      <c r="B50" s="782">
        <v>65.72</v>
      </c>
      <c r="C50" s="782">
        <v>65.349999999999994</v>
      </c>
      <c r="D50" s="782">
        <v>84.8</v>
      </c>
      <c r="E50" s="782">
        <v>84.8</v>
      </c>
      <c r="F50" s="995">
        <v>224.91</v>
      </c>
      <c r="G50" s="782">
        <v>224.91</v>
      </c>
      <c r="H50" s="782">
        <v>66.790000000000006</v>
      </c>
      <c r="I50" s="782">
        <v>66.56</v>
      </c>
      <c r="J50" s="782">
        <v>13.14</v>
      </c>
      <c r="K50" s="782">
        <v>13.1</v>
      </c>
      <c r="L50" s="782">
        <v>13.79</v>
      </c>
      <c r="M50" s="782">
        <v>13.77</v>
      </c>
      <c r="N50" s="782">
        <v>102.55</v>
      </c>
      <c r="O50" s="782">
        <v>102.41</v>
      </c>
      <c r="P50" s="699" t="s">
        <v>747</v>
      </c>
      <c r="Q50" s="472">
        <v>10.94</v>
      </c>
      <c r="R50" s="472">
        <v>10.93</v>
      </c>
      <c r="S50" s="472">
        <v>1.17</v>
      </c>
      <c r="T50" s="472">
        <v>1.1499999999999999</v>
      </c>
      <c r="U50" s="472">
        <v>0.01</v>
      </c>
      <c r="V50" s="472">
        <v>0.01</v>
      </c>
      <c r="W50" s="472">
        <v>0</v>
      </c>
      <c r="X50" s="472">
        <v>0</v>
      </c>
      <c r="Y50" s="472">
        <v>0.81</v>
      </c>
      <c r="Z50" s="472">
        <v>0.8</v>
      </c>
      <c r="AA50" s="472">
        <v>280.2</v>
      </c>
      <c r="AB50" s="472">
        <v>280.14999999999998</v>
      </c>
      <c r="AC50" s="472">
        <v>20.97</v>
      </c>
      <c r="AD50" s="472">
        <v>20.92</v>
      </c>
      <c r="AE50" s="699" t="s">
        <v>747</v>
      </c>
      <c r="AF50" s="472">
        <v>0.06</v>
      </c>
      <c r="AG50" s="472">
        <v>0.06</v>
      </c>
      <c r="AH50" s="472">
        <v>0.77</v>
      </c>
      <c r="AI50" s="472">
        <v>0.77</v>
      </c>
      <c r="AJ50" s="472">
        <v>61.41</v>
      </c>
      <c r="AK50" s="472">
        <v>61.36</v>
      </c>
      <c r="AL50" s="472">
        <v>9.98</v>
      </c>
      <c r="AM50" s="472">
        <v>9.8000000000000007</v>
      </c>
      <c r="AN50" s="472">
        <v>220.26</v>
      </c>
      <c r="AO50" s="472">
        <v>220.27</v>
      </c>
      <c r="AP50" s="472">
        <v>0.53</v>
      </c>
      <c r="AQ50" s="472">
        <v>0.54</v>
      </c>
      <c r="AR50" s="472">
        <v>1.76</v>
      </c>
      <c r="AS50" s="472">
        <v>1.74</v>
      </c>
      <c r="AT50" s="699" t="s">
        <v>747</v>
      </c>
      <c r="AU50" s="545">
        <v>23.28</v>
      </c>
      <c r="AV50" s="472">
        <v>23.29</v>
      </c>
      <c r="AW50" s="472">
        <v>1.1399999999999999</v>
      </c>
      <c r="AX50" s="472">
        <v>1.1399999999999999</v>
      </c>
      <c r="AY50" s="472">
        <v>22.61</v>
      </c>
      <c r="AZ50" s="472">
        <v>22.61</v>
      </c>
      <c r="BA50" s="472">
        <v>0.08</v>
      </c>
      <c r="BB50" s="472">
        <v>0.08</v>
      </c>
      <c r="BC50" s="472">
        <v>63.87</v>
      </c>
      <c r="BD50" s="472">
        <v>63.68</v>
      </c>
      <c r="BE50" s="472">
        <v>10.18</v>
      </c>
      <c r="BF50" s="472">
        <v>10.050000000000001</v>
      </c>
      <c r="BG50" s="472">
        <v>0.44</v>
      </c>
      <c r="BH50" s="472">
        <v>0.44</v>
      </c>
      <c r="BI50" s="699" t="s">
        <v>747</v>
      </c>
      <c r="BJ50" s="782">
        <v>94.52</v>
      </c>
      <c r="BK50" s="995">
        <v>93.35</v>
      </c>
      <c r="BL50" s="995">
        <v>7.0000000000000007E-2</v>
      </c>
      <c r="BM50" s="995">
        <v>7.0000000000000007E-2</v>
      </c>
      <c r="BN50" s="782">
        <v>122.11</v>
      </c>
      <c r="BO50" s="782">
        <v>122.05</v>
      </c>
      <c r="BP50" s="782">
        <v>2.83</v>
      </c>
      <c r="BQ50" s="782">
        <v>2.78</v>
      </c>
      <c r="BR50" s="782">
        <v>23.09</v>
      </c>
      <c r="BS50" s="782">
        <v>23.09</v>
      </c>
      <c r="BT50" s="782">
        <v>84.8</v>
      </c>
      <c r="BU50" s="782">
        <v>84.8</v>
      </c>
      <c r="BV50" s="782">
        <v>117.48</v>
      </c>
      <c r="BW50" s="782">
        <v>118.16</v>
      </c>
    </row>
    <row r="51" spans="1:77" s="224" customFormat="1" ht="10.7" customHeight="1">
      <c r="A51" s="696" t="s">
        <v>739</v>
      </c>
      <c r="B51" s="785">
        <v>65.400000000000006</v>
      </c>
      <c r="C51" s="785">
        <v>64.42</v>
      </c>
      <c r="D51" s="785">
        <v>84.8</v>
      </c>
      <c r="E51" s="785">
        <v>84.8</v>
      </c>
      <c r="F51" s="1003">
        <v>224.91</v>
      </c>
      <c r="G51" s="785">
        <v>224.94</v>
      </c>
      <c r="H51" s="785">
        <v>67.44</v>
      </c>
      <c r="I51" s="785">
        <v>67.11</v>
      </c>
      <c r="J51" s="785">
        <v>13.04</v>
      </c>
      <c r="K51" s="785">
        <v>12.9</v>
      </c>
      <c r="L51" s="785">
        <v>13.59</v>
      </c>
      <c r="M51" s="785">
        <v>13.36</v>
      </c>
      <c r="N51" s="785">
        <v>101.08</v>
      </c>
      <c r="O51" s="785">
        <v>99.35</v>
      </c>
      <c r="P51" s="696" t="s">
        <v>739</v>
      </c>
      <c r="Q51" s="456">
        <v>10.92</v>
      </c>
      <c r="R51" s="456">
        <v>10.91</v>
      </c>
      <c r="S51" s="456">
        <v>1.1599999999999999</v>
      </c>
      <c r="T51" s="456">
        <v>1.1499999999999999</v>
      </c>
      <c r="U51" s="456">
        <v>0.01</v>
      </c>
      <c r="V51" s="456">
        <v>0.01</v>
      </c>
      <c r="W51" s="456">
        <v>0</v>
      </c>
      <c r="X51" s="456">
        <v>0</v>
      </c>
      <c r="Y51" s="456">
        <v>0.78</v>
      </c>
      <c r="Z51" s="456">
        <v>0.77</v>
      </c>
      <c r="AA51" s="456">
        <v>280.41000000000003</v>
      </c>
      <c r="AB51" s="456">
        <v>280.62</v>
      </c>
      <c r="AC51" s="456">
        <v>20.64</v>
      </c>
      <c r="AD51" s="456">
        <v>20.39</v>
      </c>
      <c r="AE51" s="696" t="s">
        <v>739</v>
      </c>
      <c r="AF51" s="456">
        <v>0.06</v>
      </c>
      <c r="AG51" s="456">
        <v>0.06</v>
      </c>
      <c r="AH51" s="456">
        <v>0.76</v>
      </c>
      <c r="AI51" s="456">
        <v>0.76</v>
      </c>
      <c r="AJ51" s="456">
        <v>60.59</v>
      </c>
      <c r="AK51" s="456">
        <v>59.21</v>
      </c>
      <c r="AL51" s="456">
        <v>9.9600000000000009</v>
      </c>
      <c r="AM51" s="456">
        <v>9.91</v>
      </c>
      <c r="AN51" s="456">
        <v>220.26</v>
      </c>
      <c r="AO51" s="456">
        <v>220.27</v>
      </c>
      <c r="AP51" s="456">
        <v>0.54</v>
      </c>
      <c r="AQ51" s="456">
        <v>0.55000000000000004</v>
      </c>
      <c r="AR51" s="456">
        <v>1.75</v>
      </c>
      <c r="AS51" s="456">
        <v>1.75</v>
      </c>
      <c r="AT51" s="696" t="s">
        <v>739</v>
      </c>
      <c r="AU51" s="695">
        <v>23.22</v>
      </c>
      <c r="AV51" s="456">
        <v>23.29</v>
      </c>
      <c r="AW51" s="456">
        <v>1.1399999999999999</v>
      </c>
      <c r="AX51" s="456">
        <v>1.1200000000000001</v>
      </c>
      <c r="AY51" s="456">
        <v>22.61</v>
      </c>
      <c r="AZ51" s="456">
        <v>22.61</v>
      </c>
      <c r="BA51" s="456">
        <v>7.0000000000000007E-2</v>
      </c>
      <c r="BB51" s="456">
        <v>7.0000000000000007E-2</v>
      </c>
      <c r="BC51" s="456">
        <v>63.2</v>
      </c>
      <c r="BD51" s="456">
        <v>62.91</v>
      </c>
      <c r="BE51" s="456">
        <v>9.94</v>
      </c>
      <c r="BF51" s="456">
        <v>9.6999999999999993</v>
      </c>
      <c r="BG51" s="456">
        <v>0.43</v>
      </c>
      <c r="BH51" s="456">
        <v>0.42</v>
      </c>
      <c r="BI51" s="696" t="s">
        <v>739</v>
      </c>
      <c r="BJ51" s="785">
        <v>91.33</v>
      </c>
      <c r="BK51" s="785">
        <v>90</v>
      </c>
      <c r="BL51" s="1003">
        <v>7.0000000000000007E-2</v>
      </c>
      <c r="BM51" s="1003">
        <v>7.0000000000000007E-2</v>
      </c>
      <c r="BN51" s="785">
        <v>121.1</v>
      </c>
      <c r="BO51" s="785">
        <v>120.15</v>
      </c>
      <c r="BP51" s="785">
        <v>2.76</v>
      </c>
      <c r="BQ51" s="785">
        <v>2.7</v>
      </c>
      <c r="BR51" s="785">
        <v>23.09</v>
      </c>
      <c r="BS51" s="785">
        <v>23.09</v>
      </c>
      <c r="BT51" s="785">
        <v>84.8</v>
      </c>
      <c r="BU51" s="785">
        <v>84.8</v>
      </c>
      <c r="BV51" s="785">
        <v>117.59</v>
      </c>
      <c r="BW51" s="785">
        <v>116.53</v>
      </c>
    </row>
    <row r="52" spans="1:77" s="224" customFormat="1" ht="10.7" customHeight="1">
      <c r="A52" s="699" t="s">
        <v>748</v>
      </c>
      <c r="B52" s="782">
        <v>65.22</v>
      </c>
      <c r="C52" s="782">
        <v>66.069999999999993</v>
      </c>
      <c r="D52" s="782">
        <v>84.8</v>
      </c>
      <c r="E52" s="782">
        <v>84.8</v>
      </c>
      <c r="F52" s="995">
        <v>224.93</v>
      </c>
      <c r="G52" s="782">
        <v>224.94</v>
      </c>
      <c r="H52" s="782">
        <v>67.77</v>
      </c>
      <c r="I52" s="782">
        <v>68.87</v>
      </c>
      <c r="J52" s="782">
        <v>13</v>
      </c>
      <c r="K52" s="782">
        <v>13.1</v>
      </c>
      <c r="L52" s="782">
        <v>13.63</v>
      </c>
      <c r="M52" s="782">
        <v>13.83</v>
      </c>
      <c r="N52" s="782">
        <v>101.35</v>
      </c>
      <c r="O52" s="782">
        <v>102.82</v>
      </c>
      <c r="P52" s="699" t="s">
        <v>748</v>
      </c>
      <c r="Q52" s="472">
        <v>10.91</v>
      </c>
      <c r="R52" s="472">
        <v>10.92</v>
      </c>
      <c r="S52" s="472">
        <v>1.1399999999999999</v>
      </c>
      <c r="T52" s="472">
        <v>1.1399999999999999</v>
      </c>
      <c r="U52" s="472">
        <v>0.01</v>
      </c>
      <c r="V52" s="472">
        <v>0.01</v>
      </c>
      <c r="W52" s="472">
        <v>0</v>
      </c>
      <c r="X52" s="472">
        <v>0</v>
      </c>
      <c r="Y52" s="472">
        <v>0.78</v>
      </c>
      <c r="Z52" s="472">
        <v>0.78</v>
      </c>
      <c r="AA52" s="472">
        <v>281.17</v>
      </c>
      <c r="AB52" s="472">
        <v>281.73</v>
      </c>
      <c r="AC52" s="472">
        <v>20.56</v>
      </c>
      <c r="AD52" s="472">
        <v>20.67</v>
      </c>
      <c r="AE52" s="699" t="s">
        <v>748</v>
      </c>
      <c r="AF52" s="472">
        <v>0.06</v>
      </c>
      <c r="AG52" s="472">
        <v>0.05</v>
      </c>
      <c r="AH52" s="472">
        <v>0.76</v>
      </c>
      <c r="AI52" s="472">
        <v>0.77</v>
      </c>
      <c r="AJ52" s="472">
        <v>60.33</v>
      </c>
      <c r="AK52" s="472">
        <v>61.51</v>
      </c>
      <c r="AL52" s="472">
        <v>10.09</v>
      </c>
      <c r="AM52" s="472">
        <v>10.36</v>
      </c>
      <c r="AN52" s="472">
        <v>220.3</v>
      </c>
      <c r="AO52" s="472">
        <v>220.26</v>
      </c>
      <c r="AP52" s="472">
        <v>0.55000000000000004</v>
      </c>
      <c r="AQ52" s="472">
        <v>0.55000000000000004</v>
      </c>
      <c r="AR52" s="472">
        <v>1.75</v>
      </c>
      <c r="AS52" s="472">
        <v>1.75</v>
      </c>
      <c r="AT52" s="699" t="s">
        <v>748</v>
      </c>
      <c r="AU52" s="545">
        <v>23.24</v>
      </c>
      <c r="AV52" s="472">
        <v>23.29</v>
      </c>
      <c r="AW52" s="472">
        <v>1.1100000000000001</v>
      </c>
      <c r="AX52" s="472">
        <v>1.1399999999999999</v>
      </c>
      <c r="AY52" s="472">
        <v>22.61</v>
      </c>
      <c r="AZ52" s="472">
        <v>22.61</v>
      </c>
      <c r="BA52" s="472">
        <v>0.08</v>
      </c>
      <c r="BB52" s="472">
        <v>0.08</v>
      </c>
      <c r="BC52" s="472">
        <v>63.49</v>
      </c>
      <c r="BD52" s="472">
        <v>63.99</v>
      </c>
      <c r="BE52" s="472">
        <v>9.9600000000000009</v>
      </c>
      <c r="BF52" s="472">
        <v>10.18</v>
      </c>
      <c r="BG52" s="472">
        <v>0.43</v>
      </c>
      <c r="BH52" s="472">
        <v>0.43</v>
      </c>
      <c r="BI52" s="699" t="s">
        <v>748</v>
      </c>
      <c r="BJ52" s="782">
        <v>91.8</v>
      </c>
      <c r="BK52" s="782">
        <v>93.23</v>
      </c>
      <c r="BL52" s="995">
        <v>0.06</v>
      </c>
      <c r="BM52" s="995">
        <v>0.03</v>
      </c>
      <c r="BN52" s="782">
        <v>121.09</v>
      </c>
      <c r="BO52" s="782">
        <v>121.93</v>
      </c>
      <c r="BP52" s="782">
        <v>2.7</v>
      </c>
      <c r="BQ52" s="782">
        <v>2.71</v>
      </c>
      <c r="BR52" s="782">
        <v>23.09</v>
      </c>
      <c r="BS52" s="782">
        <v>23.09</v>
      </c>
      <c r="BT52" s="782">
        <v>84.8</v>
      </c>
      <c r="BU52" s="782">
        <v>84.8</v>
      </c>
      <c r="BV52" s="782">
        <v>117.32</v>
      </c>
      <c r="BW52" s="782">
        <v>118.16</v>
      </c>
    </row>
    <row r="53" spans="1:77" s="224" customFormat="1" ht="10.7" customHeight="1">
      <c r="A53" s="696" t="s">
        <v>749</v>
      </c>
      <c r="B53" s="785">
        <v>65.849999999999994</v>
      </c>
      <c r="C53" s="785">
        <v>65.41</v>
      </c>
      <c r="D53" s="785">
        <v>84.8</v>
      </c>
      <c r="E53" s="785">
        <v>84.8</v>
      </c>
      <c r="F53" s="1003">
        <v>224.92</v>
      </c>
      <c r="G53" s="785">
        <v>224.9</v>
      </c>
      <c r="H53" s="785">
        <v>69.87</v>
      </c>
      <c r="I53" s="785">
        <v>70.23</v>
      </c>
      <c r="J53" s="785">
        <v>13.17</v>
      </c>
      <c r="K53" s="785">
        <v>13.32</v>
      </c>
      <c r="L53" s="785">
        <v>13.84</v>
      </c>
      <c r="M53" s="785">
        <v>13.9</v>
      </c>
      <c r="N53" s="785">
        <v>102.93</v>
      </c>
      <c r="O53" s="785">
        <v>103.38</v>
      </c>
      <c r="P53" s="696" t="s">
        <v>749</v>
      </c>
      <c r="Q53" s="456">
        <v>10.92</v>
      </c>
      <c r="R53" s="456">
        <v>10.93</v>
      </c>
      <c r="S53" s="456">
        <v>1.1599999999999999</v>
      </c>
      <c r="T53" s="456">
        <v>1.17</v>
      </c>
      <c r="U53" s="456">
        <v>0.01</v>
      </c>
      <c r="V53" s="456">
        <v>0.01</v>
      </c>
      <c r="W53" s="456">
        <v>0</v>
      </c>
      <c r="X53" s="456">
        <v>0</v>
      </c>
      <c r="Y53" s="456">
        <v>0.78</v>
      </c>
      <c r="Z53" s="456">
        <v>0.77</v>
      </c>
      <c r="AA53" s="456">
        <v>281.75</v>
      </c>
      <c r="AB53" s="456">
        <v>281.91000000000003</v>
      </c>
      <c r="AC53" s="456">
        <v>20.54</v>
      </c>
      <c r="AD53" s="456">
        <v>20.5</v>
      </c>
      <c r="AE53" s="696" t="s">
        <v>749</v>
      </c>
      <c r="AF53" s="456">
        <v>0.05</v>
      </c>
      <c r="AG53" s="456">
        <v>0.05</v>
      </c>
      <c r="AH53" s="456">
        <v>0.77</v>
      </c>
      <c r="AI53" s="456">
        <v>0.77</v>
      </c>
      <c r="AJ53" s="456">
        <v>61.28</v>
      </c>
      <c r="AK53" s="456">
        <v>61.47</v>
      </c>
      <c r="AL53" s="456">
        <v>10.210000000000001</v>
      </c>
      <c r="AM53" s="456">
        <v>10.130000000000001</v>
      </c>
      <c r="AN53" s="456">
        <v>220.26</v>
      </c>
      <c r="AO53" s="456">
        <v>220.26</v>
      </c>
      <c r="AP53" s="456">
        <v>0.55000000000000004</v>
      </c>
      <c r="AQ53" s="456">
        <v>0.55000000000000004</v>
      </c>
      <c r="AR53" s="456">
        <v>1.77</v>
      </c>
      <c r="AS53" s="456">
        <v>1.78</v>
      </c>
      <c r="AT53" s="696" t="s">
        <v>749</v>
      </c>
      <c r="AU53" s="695">
        <v>23.16</v>
      </c>
      <c r="AV53" s="456">
        <v>23.15</v>
      </c>
      <c r="AW53" s="456">
        <v>1.1399999999999999</v>
      </c>
      <c r="AX53" s="456">
        <v>1.1599999999999999</v>
      </c>
      <c r="AY53" s="456">
        <v>22.61</v>
      </c>
      <c r="AZ53" s="456">
        <v>22.61</v>
      </c>
      <c r="BA53" s="456">
        <v>0.08</v>
      </c>
      <c r="BB53" s="456">
        <v>0.08</v>
      </c>
      <c r="BC53" s="456">
        <v>63.79</v>
      </c>
      <c r="BD53" s="456">
        <v>64.11</v>
      </c>
      <c r="BE53" s="456">
        <v>10.15</v>
      </c>
      <c r="BF53" s="456">
        <v>10.210000000000001</v>
      </c>
      <c r="BG53" s="456">
        <v>0.43</v>
      </c>
      <c r="BH53" s="456">
        <v>0.43</v>
      </c>
      <c r="BI53" s="696" t="s">
        <v>749</v>
      </c>
      <c r="BJ53" s="785">
        <v>93.86</v>
      </c>
      <c r="BK53" s="785">
        <v>94.23</v>
      </c>
      <c r="BL53" s="1003">
        <v>0.03</v>
      </c>
      <c r="BM53" s="1003">
        <v>0.03</v>
      </c>
      <c r="BN53" s="785">
        <v>122.12</v>
      </c>
      <c r="BO53" s="785">
        <v>122.4</v>
      </c>
      <c r="BP53" s="785">
        <v>2.71</v>
      </c>
      <c r="BQ53" s="785">
        <v>2.71</v>
      </c>
      <c r="BR53" s="785">
        <v>23.09</v>
      </c>
      <c r="BS53" s="785">
        <v>23.09</v>
      </c>
      <c r="BT53" s="785">
        <v>84.8</v>
      </c>
      <c r="BU53" s="785">
        <v>84.8</v>
      </c>
      <c r="BV53" s="785">
        <v>119.28</v>
      </c>
      <c r="BW53" s="785">
        <v>120.32</v>
      </c>
    </row>
    <row r="54" spans="1:77" s="224" customFormat="1" ht="10.7" customHeight="1" thickBot="1">
      <c r="A54" s="1389" t="s">
        <v>740</v>
      </c>
      <c r="B54" s="1547">
        <v>64.89</v>
      </c>
      <c r="C54" s="1547">
        <v>63.71</v>
      </c>
      <c r="D54" s="1547">
        <v>84.81</v>
      </c>
      <c r="E54" s="1547">
        <v>84.81</v>
      </c>
      <c r="F54" s="1578">
        <v>224.95</v>
      </c>
      <c r="G54" s="1547">
        <v>224.97</v>
      </c>
      <c r="H54" s="1547">
        <v>69.459999999999994</v>
      </c>
      <c r="I54" s="1547">
        <v>68.39</v>
      </c>
      <c r="J54" s="1547">
        <v>13.21</v>
      </c>
      <c r="K54" s="1547">
        <v>13.13</v>
      </c>
      <c r="L54" s="1547">
        <v>13.75</v>
      </c>
      <c r="M54" s="1547">
        <v>13.57</v>
      </c>
      <c r="N54" s="1547">
        <v>102.27</v>
      </c>
      <c r="O54" s="1547">
        <v>100.9</v>
      </c>
      <c r="P54" s="1389" t="s">
        <v>740</v>
      </c>
      <c r="Q54" s="1546">
        <v>10.93</v>
      </c>
      <c r="R54" s="1546">
        <v>10.92</v>
      </c>
      <c r="S54" s="1546">
        <v>1.1499999999999999</v>
      </c>
      <c r="T54" s="1546">
        <v>1.1399999999999999</v>
      </c>
      <c r="U54" s="1546">
        <v>0.01</v>
      </c>
      <c r="V54" s="1546">
        <v>0.01</v>
      </c>
      <c r="W54" s="1546">
        <v>0</v>
      </c>
      <c r="X54" s="1546">
        <v>0</v>
      </c>
      <c r="Y54" s="1546">
        <v>0.77</v>
      </c>
      <c r="Z54" s="1546">
        <v>0.77</v>
      </c>
      <c r="AA54" s="1546">
        <v>281.77</v>
      </c>
      <c r="AB54" s="1546">
        <v>281.68</v>
      </c>
      <c r="AC54" s="1546">
        <v>20.52</v>
      </c>
      <c r="AD54" s="1546">
        <v>20.420000000000002</v>
      </c>
      <c r="AE54" s="1389" t="s">
        <v>740</v>
      </c>
      <c r="AF54" s="1546">
        <v>0.05</v>
      </c>
      <c r="AG54" s="1546">
        <v>0.05</v>
      </c>
      <c r="AH54" s="1546">
        <v>0.77</v>
      </c>
      <c r="AI54" s="1546">
        <v>0.77</v>
      </c>
      <c r="AJ54" s="1546">
        <v>60.34</v>
      </c>
      <c r="AK54" s="1546">
        <v>59.29</v>
      </c>
      <c r="AL54" s="1546">
        <v>10.08</v>
      </c>
      <c r="AM54" s="1546">
        <v>9.9</v>
      </c>
      <c r="AN54" s="1546">
        <v>220.3</v>
      </c>
      <c r="AO54" s="1546">
        <v>220.29</v>
      </c>
      <c r="AP54" s="1546">
        <v>0.54</v>
      </c>
      <c r="AQ54" s="1546">
        <v>0.54</v>
      </c>
      <c r="AR54" s="1546">
        <v>1.76</v>
      </c>
      <c r="AS54" s="1546">
        <v>1.74</v>
      </c>
      <c r="AT54" s="1389" t="s">
        <v>740</v>
      </c>
      <c r="AU54" s="1579">
        <v>23.16</v>
      </c>
      <c r="AV54" s="1546">
        <v>22.91</v>
      </c>
      <c r="AW54" s="1546">
        <v>1.17</v>
      </c>
      <c r="AX54" s="1546">
        <v>1.1599999999999999</v>
      </c>
      <c r="AY54" s="1546">
        <v>22.62</v>
      </c>
      <c r="AZ54" s="1546">
        <v>22.61</v>
      </c>
      <c r="BA54" s="1546">
        <v>0.08</v>
      </c>
      <c r="BB54" s="1546">
        <v>0.08</v>
      </c>
      <c r="BC54" s="1546">
        <v>63.63</v>
      </c>
      <c r="BD54" s="1546">
        <v>63.04</v>
      </c>
      <c r="BE54" s="1546">
        <v>10.11</v>
      </c>
      <c r="BF54" s="1546">
        <v>9.9499999999999993</v>
      </c>
      <c r="BG54" s="1546">
        <v>0.43</v>
      </c>
      <c r="BH54" s="1546">
        <v>0.43</v>
      </c>
      <c r="BI54" s="1389" t="s">
        <v>740</v>
      </c>
      <c r="BJ54" s="1547">
        <v>93.52</v>
      </c>
      <c r="BK54" s="1547">
        <v>92.11</v>
      </c>
      <c r="BL54" s="1578">
        <v>0.03</v>
      </c>
      <c r="BM54" s="1578">
        <v>0.03</v>
      </c>
      <c r="BN54" s="1547">
        <v>121.8</v>
      </c>
      <c r="BO54" s="1547">
        <v>121.01</v>
      </c>
      <c r="BP54" s="1547">
        <v>2.7</v>
      </c>
      <c r="BQ54" s="1547">
        <v>2.65</v>
      </c>
      <c r="BR54" s="1547">
        <v>23.09</v>
      </c>
      <c r="BS54" s="1547">
        <v>23.09</v>
      </c>
      <c r="BT54" s="1547">
        <v>84.81</v>
      </c>
      <c r="BU54" s="1547">
        <v>84.81</v>
      </c>
      <c r="BV54" s="1547">
        <v>119.03</v>
      </c>
      <c r="BW54" s="1547">
        <v>117.36</v>
      </c>
    </row>
    <row r="55" spans="1:77" s="81" customFormat="1" ht="12.75" customHeight="1">
      <c r="A55" s="786" t="s">
        <v>551</v>
      </c>
      <c r="B55" s="787" t="s">
        <v>2030</v>
      </c>
      <c r="C55" s="41"/>
      <c r="D55" s="41"/>
      <c r="E55" s="41"/>
      <c r="F55" s="41"/>
      <c r="G55" s="41"/>
      <c r="H55" s="788" t="s">
        <v>550</v>
      </c>
      <c r="I55" s="2076" t="s">
        <v>1638</v>
      </c>
      <c r="J55" s="2076"/>
      <c r="K55" s="2076"/>
      <c r="L55" s="2076"/>
      <c r="M55" s="2076"/>
      <c r="N55" s="6"/>
      <c r="O55" s="6"/>
      <c r="P55" s="789"/>
      <c r="Q55" s="41"/>
      <c r="R55" s="41"/>
      <c r="S55" s="41"/>
      <c r="T55" s="41"/>
      <c r="U55" s="41"/>
      <c r="V55" s="41"/>
      <c r="AE55" s="789" t="s">
        <v>943</v>
      </c>
      <c r="AF55" s="2076" t="s">
        <v>1698</v>
      </c>
      <c r="AG55" s="2076"/>
      <c r="AH55" s="2076"/>
      <c r="AI55" s="2076"/>
      <c r="AJ55" s="2076"/>
      <c r="AK55" s="2076"/>
      <c r="AT55" s="1459"/>
      <c r="AU55" s="41"/>
      <c r="AV55" s="41"/>
      <c r="AW55" s="41"/>
      <c r="AX55" s="41"/>
      <c r="AY55" s="41"/>
      <c r="AZ55" s="41"/>
      <c r="BI55" s="789"/>
      <c r="BJ55" s="790"/>
      <c r="BK55" s="790"/>
      <c r="BL55" s="790"/>
      <c r="BM55" s="790"/>
      <c r="BN55" s="790"/>
      <c r="BO55" s="790"/>
      <c r="BP55" s="790"/>
      <c r="BQ55" s="790"/>
      <c r="BR55" s="790"/>
      <c r="BS55" s="790"/>
      <c r="BT55" s="790"/>
      <c r="BU55" s="790"/>
      <c r="BV55" s="790"/>
      <c r="BW55" s="790"/>
    </row>
    <row r="56" spans="1:77" s="81" customFormat="1" ht="12.75" customHeight="1">
      <c r="A56" s="66"/>
      <c r="B56" s="249"/>
      <c r="P56" s="66"/>
      <c r="AE56" s="169"/>
      <c r="AT56" s="66"/>
      <c r="BI56" s="66"/>
      <c r="BJ56" s="1420"/>
      <c r="BK56" s="1420"/>
      <c r="BL56" s="1420"/>
      <c r="BM56" s="1420"/>
      <c r="BN56" s="1420"/>
      <c r="BO56" s="1420"/>
      <c r="BP56" s="1420"/>
      <c r="BQ56" s="1420"/>
      <c r="BR56" s="1420"/>
      <c r="BS56" s="1420"/>
      <c r="BT56" s="1420"/>
      <c r="BU56" s="1420"/>
      <c r="BV56" s="1420"/>
      <c r="BW56" s="1420"/>
    </row>
    <row r="57" spans="1:77" s="81" customFormat="1" ht="12.75" customHeight="1">
      <c r="A57" s="66"/>
      <c r="B57" s="1195"/>
      <c r="C57" s="103"/>
      <c r="D57" s="103"/>
      <c r="E57" s="103"/>
      <c r="F57" s="103"/>
      <c r="G57" s="103"/>
      <c r="S57" s="66"/>
      <c r="AK57" s="66"/>
      <c r="BC57" s="66"/>
      <c r="BU57" s="66"/>
      <c r="BV57" s="1420"/>
      <c r="BW57" s="1420"/>
    </row>
    <row r="58" spans="1:77">
      <c r="A58" s="1070"/>
      <c r="B58" s="1130"/>
      <c r="C58" s="1130"/>
      <c r="D58" s="1130"/>
      <c r="E58" s="1130"/>
      <c r="F58" s="1130"/>
      <c r="G58" s="1130"/>
      <c r="H58" s="1130"/>
      <c r="I58" s="1130"/>
      <c r="J58" s="1130"/>
      <c r="K58" s="1130"/>
      <c r="L58" s="1130"/>
      <c r="M58" s="1130"/>
      <c r="N58" s="1130"/>
      <c r="O58" s="1130"/>
      <c r="P58" s="1131"/>
      <c r="Q58" s="1131"/>
      <c r="R58" s="1131"/>
      <c r="S58" s="1131"/>
      <c r="T58" s="1131"/>
      <c r="U58" s="1131"/>
      <c r="V58" s="1131"/>
      <c r="W58" s="1131"/>
      <c r="X58" s="1131"/>
      <c r="Y58" s="1131"/>
      <c r="Z58" s="1131"/>
      <c r="AA58" s="1131"/>
      <c r="AB58" s="1131"/>
      <c r="AC58" s="1131"/>
      <c r="AD58" s="1131"/>
      <c r="AE58" s="1131"/>
      <c r="AF58" s="1131"/>
      <c r="AG58" s="1131"/>
      <c r="AH58" s="1131"/>
      <c r="AI58" s="1131"/>
      <c r="AJ58" s="1131"/>
      <c r="AK58" s="1131"/>
      <c r="AL58" s="1131"/>
      <c r="AM58" s="1131"/>
      <c r="AN58" s="1131"/>
      <c r="AO58" s="1131"/>
      <c r="AP58" s="1131"/>
      <c r="AQ58" s="1131"/>
      <c r="AR58" s="1131"/>
      <c r="AS58" s="1131"/>
      <c r="AU58" s="1130"/>
      <c r="AV58" s="1130"/>
      <c r="AW58" s="1130"/>
      <c r="AX58" s="1130"/>
      <c r="AY58" s="1130"/>
      <c r="AZ58" s="1130"/>
      <c r="BA58" s="1130"/>
      <c r="BB58" s="1130"/>
      <c r="BC58" s="1130"/>
      <c r="BD58" s="1130"/>
      <c r="BE58" s="1130"/>
      <c r="BF58" s="1130"/>
      <c r="BG58" s="1130"/>
      <c r="BH58" s="1130"/>
      <c r="BI58" s="1130"/>
      <c r="BJ58" s="1130"/>
      <c r="BK58" s="1130"/>
      <c r="BL58" s="1130"/>
      <c r="BM58" s="1130"/>
      <c r="BN58" s="1130"/>
      <c r="BO58" s="1130"/>
      <c r="BP58" s="1130"/>
      <c r="BQ58" s="1130"/>
      <c r="BR58" s="1130"/>
      <c r="BS58" s="1130"/>
      <c r="BT58" s="1130"/>
      <c r="BU58" s="1130"/>
      <c r="BV58" s="1130"/>
      <c r="BW58" s="1130"/>
      <c r="BX58" s="1130"/>
      <c r="BY58" s="1130"/>
    </row>
    <row r="59" spans="1:77">
      <c r="A59" s="1070"/>
      <c r="B59" s="1071"/>
      <c r="C59" s="1071"/>
      <c r="D59" s="1071"/>
      <c r="E59" s="1071"/>
      <c r="F59" s="1071"/>
      <c r="G59" s="1071"/>
      <c r="H59" s="1071"/>
      <c r="I59" s="1071"/>
      <c r="J59" s="1071"/>
      <c r="K59" s="1071"/>
      <c r="L59" s="1071"/>
      <c r="M59" s="1071"/>
      <c r="N59" s="1071"/>
      <c r="O59" s="1071"/>
      <c r="P59" s="1071"/>
      <c r="Q59" s="1071"/>
      <c r="R59" s="1071"/>
      <c r="S59" s="1071"/>
      <c r="T59" s="1071"/>
      <c r="U59" s="1071"/>
      <c r="V59" s="1071"/>
      <c r="W59" s="1071"/>
      <c r="X59" s="1071"/>
      <c r="Y59" s="1071"/>
      <c r="Z59" s="1071"/>
      <c r="AA59" s="1071"/>
      <c r="AB59" s="1071"/>
      <c r="AC59" s="1071"/>
      <c r="AD59" s="1071"/>
      <c r="AE59" s="1071"/>
      <c r="AF59" s="1071"/>
      <c r="AG59" s="1071"/>
      <c r="AH59" s="1071"/>
      <c r="AI59" s="1071"/>
      <c r="AJ59" s="1071"/>
      <c r="AK59" s="1071"/>
      <c r="AL59" s="1071"/>
      <c r="AM59" s="1071"/>
      <c r="AN59" s="1071"/>
      <c r="AO59" s="1071"/>
      <c r="AP59" s="1071"/>
      <c r="AQ59" s="1071"/>
      <c r="AR59" s="1071"/>
      <c r="AS59" s="1071"/>
      <c r="AT59" s="1071"/>
      <c r="AU59" s="1071"/>
      <c r="AV59" s="1071"/>
      <c r="AW59" s="1071"/>
      <c r="AX59" s="1071"/>
      <c r="AY59" s="1071"/>
      <c r="AZ59" s="1071"/>
      <c r="BA59" s="1071"/>
      <c r="BB59" s="1071"/>
      <c r="BC59" s="1071"/>
      <c r="BD59" s="1071"/>
      <c r="BE59" s="1071"/>
      <c r="BF59" s="1071"/>
      <c r="BG59" s="1071"/>
      <c r="BH59" s="1071"/>
      <c r="BI59" s="1071"/>
      <c r="BJ59" s="1071"/>
      <c r="BK59" s="1071"/>
      <c r="BL59" s="1071"/>
      <c r="BM59" s="1071"/>
      <c r="BN59" s="1071"/>
      <c r="BO59" s="1071"/>
      <c r="BP59" s="1071"/>
      <c r="BQ59" s="1071"/>
      <c r="BR59" s="1071"/>
      <c r="BS59" s="1071"/>
      <c r="BT59" s="1071"/>
      <c r="BU59" s="1071"/>
      <c r="BV59" s="1071"/>
      <c r="BW59" s="1071"/>
    </row>
    <row r="60" spans="1:77">
      <c r="A60" s="494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3"/>
      <c r="N60" s="313"/>
      <c r="O60" s="313"/>
      <c r="Q60" s="55"/>
      <c r="R60" s="55"/>
      <c r="S60" s="313"/>
      <c r="T60" s="313"/>
      <c r="U60" s="313"/>
      <c r="V60" s="313"/>
      <c r="W60" s="313"/>
      <c r="X60" s="313"/>
      <c r="Y60" s="313"/>
      <c r="Z60" s="313"/>
      <c r="AA60" s="313"/>
      <c r="AB60" s="313"/>
      <c r="AC60" s="313"/>
      <c r="AD60" s="313"/>
      <c r="AF60" s="313"/>
      <c r="AG60" s="55"/>
      <c r="AH60" s="313"/>
      <c r="AI60" s="55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U60" s="313"/>
      <c r="AV60" s="313"/>
      <c r="AW60" s="55"/>
      <c r="AX60" s="313"/>
      <c r="AY60" s="313"/>
      <c r="AZ60" s="55"/>
      <c r="BA60" s="313"/>
      <c r="BB60" s="313"/>
      <c r="BC60" s="313"/>
      <c r="BD60" s="313"/>
      <c r="BE60" s="313"/>
      <c r="BF60" s="313"/>
      <c r="BG60" s="313"/>
      <c r="BH60" s="313"/>
      <c r="BJ60" s="313"/>
      <c r="BK60" s="313"/>
      <c r="BL60" s="313"/>
      <c r="BM60" s="55"/>
      <c r="BN60" s="313"/>
      <c r="BO60" s="313"/>
      <c r="BP60" s="313"/>
      <c r="BQ60" s="55"/>
      <c r="BR60" s="313"/>
      <c r="BS60" s="313"/>
      <c r="BT60" s="313"/>
      <c r="BU60" s="313"/>
      <c r="BV60" s="313"/>
      <c r="BW60" s="313"/>
    </row>
    <row r="61" spans="1:77">
      <c r="A61" s="494"/>
      <c r="B61" s="785"/>
      <c r="C61" s="785"/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  <c r="P61" s="785"/>
      <c r="Q61" s="785"/>
      <c r="R61" s="785"/>
      <c r="S61" s="785"/>
      <c r="T61" s="785"/>
      <c r="U61" s="785"/>
      <c r="V61" s="785"/>
      <c r="W61" s="785"/>
      <c r="X61" s="785"/>
      <c r="Y61" s="785"/>
      <c r="Z61" s="785"/>
      <c r="AA61" s="785"/>
      <c r="AB61" s="785"/>
      <c r="AC61" s="785"/>
      <c r="AD61" s="785"/>
      <c r="AE61" s="785"/>
      <c r="AF61" s="785"/>
      <c r="AG61" s="785"/>
      <c r="AH61" s="785"/>
      <c r="AI61" s="785"/>
      <c r="AJ61" s="785"/>
      <c r="AK61" s="785"/>
      <c r="AL61" s="785"/>
      <c r="AM61" s="785"/>
      <c r="AN61" s="785"/>
      <c r="AO61" s="785"/>
      <c r="AP61" s="785"/>
      <c r="AQ61" s="785"/>
      <c r="AR61" s="785"/>
      <c r="AS61" s="785"/>
      <c r="AT61" s="785"/>
      <c r="AU61" s="785"/>
      <c r="AV61" s="785"/>
      <c r="AW61" s="785"/>
      <c r="AX61" s="785"/>
      <c r="AY61" s="785"/>
      <c r="AZ61" s="785"/>
      <c r="BA61" s="785"/>
      <c r="BB61" s="785"/>
      <c r="BC61" s="785"/>
      <c r="BD61" s="785"/>
      <c r="BE61" s="785"/>
      <c r="BF61" s="785"/>
      <c r="BG61" s="785"/>
      <c r="BH61" s="785"/>
      <c r="BI61" s="785"/>
      <c r="BJ61" s="785"/>
      <c r="BK61" s="785"/>
      <c r="BL61" s="785"/>
      <c r="BM61" s="785"/>
      <c r="BN61" s="785"/>
      <c r="BO61" s="785"/>
      <c r="BP61" s="785"/>
      <c r="BQ61" s="785"/>
      <c r="BR61" s="785"/>
      <c r="BS61" s="785"/>
      <c r="BT61" s="785"/>
      <c r="BU61" s="785"/>
      <c r="BV61" s="785"/>
      <c r="BW61" s="785"/>
    </row>
    <row r="62" spans="1:77">
      <c r="A62" s="494"/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785"/>
      <c r="AB62" s="785"/>
      <c r="AC62" s="785"/>
      <c r="AD62" s="785"/>
      <c r="AE62" s="785"/>
      <c r="AF62" s="785"/>
      <c r="AG62" s="785"/>
      <c r="AH62" s="785"/>
      <c r="AI62" s="785"/>
      <c r="AJ62" s="785"/>
      <c r="AK62" s="785"/>
      <c r="AL62" s="785"/>
      <c r="AM62" s="785"/>
      <c r="AN62" s="785"/>
      <c r="AO62" s="785"/>
      <c r="AP62" s="785"/>
      <c r="AQ62" s="785"/>
      <c r="AR62" s="785"/>
      <c r="AS62" s="785"/>
      <c r="AT62" s="785"/>
      <c r="AU62" s="785"/>
      <c r="AV62" s="785"/>
      <c r="AW62" s="785"/>
      <c r="AX62" s="785"/>
      <c r="AY62" s="785"/>
      <c r="AZ62" s="785"/>
      <c r="BA62" s="785"/>
      <c r="BB62" s="785"/>
      <c r="BC62" s="785"/>
      <c r="BD62" s="785"/>
      <c r="BE62" s="785"/>
      <c r="BF62" s="785"/>
      <c r="BG62" s="785"/>
      <c r="BH62" s="785"/>
      <c r="BI62" s="785"/>
      <c r="BJ62" s="785"/>
      <c r="BK62" s="785"/>
      <c r="BL62" s="785"/>
      <c r="BM62" s="785"/>
      <c r="BN62" s="785"/>
      <c r="BO62" s="785"/>
      <c r="BP62" s="785"/>
      <c r="BQ62" s="785"/>
      <c r="BR62" s="785"/>
      <c r="BS62" s="785"/>
      <c r="BT62" s="785"/>
      <c r="BU62" s="785"/>
      <c r="BV62" s="785"/>
      <c r="BW62" s="785"/>
    </row>
    <row r="63" spans="1:77">
      <c r="A63" s="494"/>
      <c r="B63" s="785"/>
      <c r="C63" s="785"/>
      <c r="D63" s="785"/>
      <c r="E63" s="785"/>
      <c r="F63" s="785"/>
      <c r="G63" s="785"/>
      <c r="H63" s="785"/>
      <c r="I63" s="785"/>
      <c r="J63" s="785"/>
      <c r="K63" s="785"/>
      <c r="L63" s="785"/>
      <c r="M63" s="785"/>
      <c r="N63" s="785"/>
      <c r="O63" s="785"/>
      <c r="P63" s="785"/>
      <c r="Q63" s="785"/>
      <c r="R63" s="785"/>
      <c r="S63" s="785"/>
      <c r="T63" s="785"/>
      <c r="U63" s="785"/>
      <c r="V63" s="785"/>
      <c r="W63" s="785"/>
      <c r="X63" s="785"/>
      <c r="Y63" s="785"/>
      <c r="Z63" s="785"/>
      <c r="AA63" s="785"/>
      <c r="AB63" s="785"/>
      <c r="AC63" s="785"/>
      <c r="AD63" s="785"/>
      <c r="AE63" s="785"/>
      <c r="AF63" s="785"/>
      <c r="AG63" s="785"/>
      <c r="AH63" s="785"/>
      <c r="AI63" s="785"/>
      <c r="AJ63" s="785"/>
      <c r="AK63" s="785"/>
      <c r="AL63" s="785"/>
      <c r="AM63" s="785"/>
      <c r="AN63" s="785"/>
      <c r="AO63" s="785"/>
      <c r="AP63" s="785"/>
      <c r="AQ63" s="785"/>
      <c r="AR63" s="785"/>
      <c r="AS63" s="785"/>
      <c r="AT63" s="785"/>
      <c r="AU63" s="785"/>
      <c r="AV63" s="785"/>
      <c r="AW63" s="785"/>
      <c r="AX63" s="785"/>
      <c r="AY63" s="785"/>
      <c r="AZ63" s="785"/>
      <c r="BA63" s="785"/>
      <c r="BB63" s="785"/>
      <c r="BC63" s="785"/>
      <c r="BD63" s="785"/>
      <c r="BE63" s="785"/>
      <c r="BF63" s="785"/>
      <c r="BG63" s="785"/>
      <c r="BH63" s="785"/>
      <c r="BI63" s="785"/>
      <c r="BJ63" s="785"/>
      <c r="BK63" s="785"/>
      <c r="BL63" s="785"/>
      <c r="BM63" s="785"/>
      <c r="BN63" s="785"/>
      <c r="BO63" s="785"/>
      <c r="BP63" s="785"/>
      <c r="BQ63" s="785"/>
      <c r="BR63" s="785"/>
      <c r="BS63" s="785"/>
      <c r="BT63" s="785"/>
      <c r="BU63" s="785"/>
      <c r="BV63" s="785"/>
      <c r="BW63" s="785"/>
    </row>
    <row r="64" spans="1:77">
      <c r="A64" s="494"/>
      <c r="B64" s="785"/>
      <c r="C64" s="785"/>
      <c r="D64" s="785"/>
      <c r="E64" s="785"/>
      <c r="F64" s="785"/>
      <c r="G64" s="785"/>
      <c r="H64" s="785"/>
      <c r="I64" s="785"/>
      <c r="J64" s="785"/>
      <c r="K64" s="785"/>
      <c r="L64" s="785"/>
      <c r="M64" s="785"/>
      <c r="N64" s="785"/>
      <c r="O64" s="785"/>
      <c r="P64" s="785"/>
      <c r="Q64" s="785"/>
      <c r="R64" s="785"/>
      <c r="S64" s="785"/>
      <c r="T64" s="785"/>
      <c r="U64" s="785"/>
      <c r="V64" s="785"/>
      <c r="W64" s="785"/>
      <c r="X64" s="785"/>
      <c r="Y64" s="785"/>
      <c r="Z64" s="785"/>
      <c r="AA64" s="785"/>
      <c r="AB64" s="785"/>
      <c r="AC64" s="785"/>
      <c r="AD64" s="785"/>
      <c r="AE64" s="785"/>
      <c r="AF64" s="785"/>
      <c r="AG64" s="785"/>
      <c r="AH64" s="785"/>
      <c r="AI64" s="785"/>
      <c r="AJ64" s="785"/>
      <c r="AK64" s="785"/>
      <c r="AL64" s="785"/>
      <c r="AM64" s="785"/>
      <c r="AN64" s="785"/>
      <c r="AO64" s="785"/>
      <c r="AP64" s="785"/>
      <c r="AQ64" s="785"/>
      <c r="AR64" s="785"/>
      <c r="AS64" s="785"/>
      <c r="AT64" s="785"/>
      <c r="AU64" s="785"/>
      <c r="AV64" s="785"/>
      <c r="AW64" s="785"/>
      <c r="AX64" s="785"/>
      <c r="AY64" s="785"/>
      <c r="AZ64" s="785"/>
      <c r="BA64" s="785"/>
      <c r="BB64" s="785"/>
      <c r="BC64" s="785"/>
      <c r="BD64" s="785"/>
      <c r="BE64" s="785"/>
      <c r="BF64" s="785"/>
      <c r="BG64" s="785"/>
      <c r="BH64" s="785"/>
      <c r="BI64" s="785"/>
      <c r="BJ64" s="785"/>
      <c r="BK64" s="785"/>
      <c r="BL64" s="785"/>
      <c r="BM64" s="785"/>
      <c r="BN64" s="785"/>
      <c r="BO64" s="785"/>
      <c r="BP64" s="785"/>
      <c r="BQ64" s="785"/>
      <c r="BR64" s="785"/>
      <c r="BS64" s="785"/>
      <c r="BT64" s="785"/>
      <c r="BU64" s="785"/>
      <c r="BV64" s="785"/>
      <c r="BW64" s="785"/>
    </row>
    <row r="65" spans="2:75">
      <c r="B65" s="785"/>
      <c r="C65" s="785"/>
      <c r="D65" s="785"/>
      <c r="E65" s="785"/>
      <c r="F65" s="785"/>
      <c r="G65" s="785"/>
      <c r="H65" s="785"/>
      <c r="I65" s="785"/>
      <c r="J65" s="785"/>
      <c r="K65" s="785"/>
      <c r="L65" s="785"/>
      <c r="M65" s="785"/>
      <c r="N65" s="785"/>
      <c r="O65" s="785"/>
      <c r="P65" s="785"/>
      <c r="Q65" s="785"/>
      <c r="R65" s="785"/>
      <c r="S65" s="785"/>
      <c r="T65" s="785"/>
      <c r="U65" s="785"/>
      <c r="V65" s="785"/>
      <c r="W65" s="785"/>
      <c r="X65" s="785"/>
      <c r="Y65" s="785"/>
      <c r="Z65" s="785"/>
      <c r="AA65" s="785"/>
      <c r="AB65" s="785"/>
      <c r="AC65" s="785"/>
      <c r="AD65" s="785"/>
      <c r="AE65" s="785"/>
      <c r="AF65" s="785"/>
      <c r="AG65" s="785"/>
      <c r="AH65" s="785"/>
      <c r="AI65" s="785"/>
      <c r="AJ65" s="785"/>
      <c r="AK65" s="785"/>
      <c r="AL65" s="785"/>
      <c r="AM65" s="785"/>
      <c r="AN65" s="785"/>
      <c r="AO65" s="785"/>
      <c r="AP65" s="785"/>
      <c r="AQ65" s="785"/>
      <c r="AR65" s="785"/>
      <c r="AS65" s="785"/>
      <c r="AT65" s="785"/>
      <c r="AU65" s="785"/>
      <c r="AV65" s="785"/>
      <c r="AW65" s="785"/>
      <c r="AX65" s="785"/>
      <c r="AY65" s="785"/>
      <c r="AZ65" s="785"/>
      <c r="BA65" s="785"/>
      <c r="BB65" s="785"/>
      <c r="BC65" s="785"/>
      <c r="BD65" s="785"/>
      <c r="BE65" s="785"/>
      <c r="BF65" s="785"/>
      <c r="BG65" s="785"/>
      <c r="BH65" s="785"/>
      <c r="BI65" s="785"/>
      <c r="BJ65" s="785"/>
      <c r="BK65" s="785"/>
      <c r="BL65" s="785"/>
      <c r="BM65" s="785"/>
      <c r="BN65" s="785"/>
      <c r="BO65" s="785"/>
      <c r="BP65" s="785"/>
      <c r="BQ65" s="785"/>
      <c r="BR65" s="785"/>
      <c r="BS65" s="785"/>
      <c r="BT65" s="785"/>
      <c r="BU65" s="785"/>
      <c r="BV65" s="785"/>
      <c r="BW65" s="785"/>
    </row>
    <row r="66" spans="2:75">
      <c r="B66" s="785"/>
      <c r="C66" s="785"/>
      <c r="D66" s="785"/>
      <c r="E66" s="785"/>
      <c r="F66" s="785"/>
      <c r="G66" s="785"/>
      <c r="H66" s="785"/>
      <c r="I66" s="785"/>
      <c r="J66" s="785"/>
      <c r="K66" s="785"/>
      <c r="L66" s="785"/>
      <c r="M66" s="785"/>
      <c r="N66" s="785"/>
      <c r="O66" s="785"/>
      <c r="P66" s="785"/>
      <c r="Q66" s="785"/>
      <c r="R66" s="785"/>
      <c r="S66" s="785"/>
      <c r="T66" s="785"/>
      <c r="U66" s="785"/>
      <c r="V66" s="785"/>
      <c r="W66" s="785"/>
      <c r="X66" s="785"/>
      <c r="Y66" s="785"/>
      <c r="Z66" s="785"/>
      <c r="AA66" s="785"/>
      <c r="AB66" s="785"/>
      <c r="AC66" s="785"/>
      <c r="AD66" s="785"/>
      <c r="AE66" s="785"/>
      <c r="AF66" s="785"/>
      <c r="AG66" s="785"/>
      <c r="AH66" s="785"/>
      <c r="AI66" s="785"/>
      <c r="AJ66" s="785"/>
      <c r="AK66" s="785"/>
      <c r="AL66" s="785"/>
      <c r="AM66" s="785"/>
      <c r="AN66" s="785"/>
      <c r="AO66" s="785"/>
      <c r="AP66" s="785"/>
      <c r="AQ66" s="785"/>
      <c r="AR66" s="785"/>
      <c r="AS66" s="785"/>
      <c r="AT66" s="785"/>
      <c r="AU66" s="785"/>
      <c r="AV66" s="785"/>
      <c r="AW66" s="785"/>
      <c r="AX66" s="785"/>
      <c r="AY66" s="785"/>
      <c r="AZ66" s="785"/>
      <c r="BA66" s="785"/>
      <c r="BB66" s="785"/>
      <c r="BC66" s="785"/>
      <c r="BD66" s="785"/>
      <c r="BE66" s="785"/>
      <c r="BF66" s="785"/>
      <c r="BG66" s="785"/>
      <c r="BH66" s="785"/>
      <c r="BI66" s="785"/>
      <c r="BJ66" s="785"/>
      <c r="BK66" s="785"/>
      <c r="BL66" s="785"/>
      <c r="BM66" s="785"/>
      <c r="BN66" s="785"/>
      <c r="BO66" s="785"/>
      <c r="BP66" s="785"/>
      <c r="BQ66" s="785"/>
      <c r="BR66" s="785"/>
      <c r="BS66" s="785"/>
      <c r="BT66" s="785"/>
      <c r="BU66" s="785"/>
      <c r="BV66" s="785"/>
      <c r="BW66" s="785"/>
    </row>
    <row r="67" spans="2:75">
      <c r="B67" s="785"/>
      <c r="C67" s="785"/>
      <c r="D67" s="785"/>
      <c r="E67" s="785"/>
      <c r="F67" s="785"/>
      <c r="G67" s="785"/>
      <c r="H67" s="785"/>
      <c r="I67" s="785"/>
      <c r="J67" s="785"/>
      <c r="K67" s="785"/>
      <c r="L67" s="785"/>
      <c r="M67" s="785"/>
      <c r="N67" s="785"/>
      <c r="O67" s="785"/>
      <c r="P67" s="785"/>
      <c r="Q67" s="785"/>
      <c r="R67" s="785"/>
      <c r="S67" s="785"/>
      <c r="T67" s="785"/>
      <c r="U67" s="785"/>
      <c r="V67" s="785"/>
      <c r="W67" s="785"/>
      <c r="X67" s="785"/>
      <c r="Y67" s="785"/>
      <c r="Z67" s="785"/>
      <c r="AA67" s="785"/>
      <c r="AB67" s="785"/>
      <c r="AC67" s="785"/>
      <c r="AD67" s="785"/>
      <c r="AE67" s="785"/>
      <c r="AF67" s="785"/>
      <c r="AG67" s="785"/>
      <c r="AH67" s="785"/>
      <c r="AI67" s="785"/>
      <c r="AJ67" s="785"/>
      <c r="AK67" s="785"/>
      <c r="AL67" s="785"/>
      <c r="AM67" s="785"/>
      <c r="AN67" s="785"/>
      <c r="AO67" s="785"/>
      <c r="AP67" s="785"/>
      <c r="AQ67" s="785"/>
      <c r="AR67" s="785"/>
      <c r="AS67" s="785"/>
      <c r="AT67" s="785"/>
      <c r="AU67" s="785"/>
      <c r="AV67" s="785"/>
      <c r="AW67" s="785"/>
      <c r="AX67" s="785"/>
      <c r="AY67" s="785"/>
      <c r="AZ67" s="785"/>
      <c r="BA67" s="785"/>
      <c r="BB67" s="785"/>
      <c r="BC67" s="785"/>
      <c r="BD67" s="785"/>
      <c r="BE67" s="785"/>
      <c r="BF67" s="785"/>
      <c r="BG67" s="785"/>
      <c r="BH67" s="785"/>
      <c r="BI67" s="785"/>
      <c r="BJ67" s="785"/>
      <c r="BK67" s="785"/>
      <c r="BL67" s="785"/>
      <c r="BM67" s="785"/>
      <c r="BN67" s="785"/>
      <c r="BO67" s="785"/>
      <c r="BP67" s="785"/>
      <c r="BQ67" s="785"/>
      <c r="BR67" s="785"/>
      <c r="BS67" s="785"/>
      <c r="BT67" s="785"/>
      <c r="BU67" s="785"/>
      <c r="BV67" s="785"/>
      <c r="BW67" s="785"/>
    </row>
    <row r="68" spans="2:75">
      <c r="B68" s="785"/>
      <c r="C68" s="785"/>
      <c r="D68" s="785"/>
      <c r="E68" s="785"/>
      <c r="F68" s="785"/>
      <c r="G68" s="785"/>
      <c r="H68" s="785"/>
      <c r="I68" s="785"/>
      <c r="J68" s="785"/>
      <c r="K68" s="785"/>
      <c r="L68" s="785"/>
      <c r="M68" s="785"/>
      <c r="N68" s="785"/>
      <c r="O68" s="785"/>
      <c r="P68" s="785"/>
      <c r="Q68" s="785"/>
      <c r="R68" s="785"/>
      <c r="S68" s="785"/>
      <c r="T68" s="785"/>
      <c r="U68" s="785"/>
      <c r="V68" s="785"/>
      <c r="W68" s="785"/>
      <c r="X68" s="785"/>
      <c r="Y68" s="785"/>
      <c r="Z68" s="785"/>
      <c r="AA68" s="785"/>
      <c r="AB68" s="785"/>
      <c r="AC68" s="785"/>
      <c r="AD68" s="785"/>
      <c r="AE68" s="785"/>
      <c r="AF68" s="785"/>
      <c r="AG68" s="785"/>
      <c r="AH68" s="785"/>
      <c r="AI68" s="785"/>
      <c r="AJ68" s="785"/>
      <c r="AK68" s="785"/>
      <c r="AL68" s="785"/>
      <c r="AM68" s="785"/>
      <c r="AN68" s="785"/>
      <c r="AO68" s="785"/>
      <c r="AP68" s="785"/>
      <c r="AQ68" s="785"/>
      <c r="AR68" s="785"/>
      <c r="AS68" s="785"/>
      <c r="AT68" s="785"/>
      <c r="AU68" s="785"/>
      <c r="AV68" s="785"/>
      <c r="AW68" s="785"/>
      <c r="AX68" s="785"/>
      <c r="AY68" s="785"/>
      <c r="AZ68" s="785"/>
      <c r="BA68" s="785"/>
      <c r="BB68" s="785"/>
      <c r="BC68" s="785"/>
      <c r="BD68" s="785"/>
      <c r="BE68" s="785"/>
      <c r="BF68" s="785"/>
      <c r="BG68" s="785"/>
      <c r="BH68" s="785"/>
      <c r="BI68" s="785"/>
      <c r="BJ68" s="785"/>
      <c r="BK68" s="785"/>
      <c r="BL68" s="785"/>
      <c r="BM68" s="785"/>
      <c r="BN68" s="785"/>
      <c r="BO68" s="785"/>
      <c r="BP68" s="785"/>
      <c r="BQ68" s="785"/>
      <c r="BR68" s="785"/>
      <c r="BS68" s="785"/>
      <c r="BT68" s="785"/>
      <c r="BU68" s="785"/>
      <c r="BV68" s="785"/>
      <c r="BW68" s="785"/>
    </row>
    <row r="69" spans="2:75"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</row>
    <row r="70" spans="2:75">
      <c r="B70" s="206"/>
      <c r="C70" s="206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</row>
    <row r="71" spans="2:75"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  <c r="BJ71" s="206"/>
      <c r="BK71" s="206"/>
      <c r="BL71" s="206"/>
      <c r="BM71" s="206"/>
      <c r="BN71" s="206"/>
      <c r="BO71" s="206"/>
      <c r="BP71" s="206"/>
      <c r="BQ71" s="206"/>
      <c r="BR71" s="206"/>
      <c r="BS71" s="206"/>
      <c r="BT71" s="206"/>
      <c r="BU71" s="206"/>
      <c r="BV71" s="206"/>
      <c r="BW71" s="206"/>
    </row>
    <row r="72" spans="2:75"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  <c r="BJ72" s="206"/>
      <c r="BK72" s="206"/>
      <c r="BL72" s="206"/>
      <c r="BM72" s="206"/>
      <c r="BN72" s="206"/>
      <c r="BO72" s="206"/>
      <c r="BP72" s="206"/>
      <c r="BQ72" s="206"/>
      <c r="BR72" s="206"/>
      <c r="BS72" s="206"/>
      <c r="BT72" s="206"/>
      <c r="BU72" s="206"/>
      <c r="BV72" s="206"/>
      <c r="BW72" s="206"/>
    </row>
    <row r="73" spans="2:75"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  <c r="BJ73" s="206"/>
      <c r="BK73" s="206"/>
      <c r="BL73" s="206"/>
      <c r="BM73" s="206"/>
      <c r="BN73" s="206"/>
      <c r="BO73" s="206"/>
      <c r="BP73" s="206"/>
      <c r="BQ73" s="206"/>
      <c r="BR73" s="206"/>
      <c r="BS73" s="206"/>
      <c r="BT73" s="206"/>
      <c r="BU73" s="206"/>
      <c r="BV73" s="206"/>
      <c r="BW73" s="206"/>
    </row>
    <row r="74" spans="2:75"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  <c r="BJ74" s="206"/>
      <c r="BK74" s="206"/>
      <c r="BL74" s="206"/>
      <c r="BM74" s="206"/>
      <c r="BN74" s="206"/>
      <c r="BO74" s="206"/>
      <c r="BP74" s="206"/>
      <c r="BQ74" s="206"/>
      <c r="BR74" s="206"/>
      <c r="BS74" s="206"/>
      <c r="BT74" s="206"/>
      <c r="BU74" s="206"/>
      <c r="BV74" s="206"/>
      <c r="BW74" s="206"/>
    </row>
    <row r="75" spans="2:75"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  <c r="BJ75" s="206"/>
      <c r="BK75" s="206"/>
      <c r="BL75" s="206"/>
      <c r="BM75" s="206"/>
      <c r="BN75" s="206"/>
      <c r="BO75" s="206"/>
      <c r="BP75" s="206"/>
      <c r="BQ75" s="206"/>
      <c r="BR75" s="206"/>
      <c r="BS75" s="206"/>
      <c r="BT75" s="206"/>
      <c r="BU75" s="206"/>
      <c r="BV75" s="206"/>
      <c r="BW75" s="206"/>
    </row>
    <row r="76" spans="2:75"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  <c r="BJ76" s="206"/>
      <c r="BK76" s="206"/>
      <c r="BL76" s="206"/>
      <c r="BM76" s="206"/>
      <c r="BN76" s="206"/>
      <c r="BO76" s="206"/>
      <c r="BP76" s="206"/>
      <c r="BQ76" s="206"/>
      <c r="BR76" s="206"/>
      <c r="BS76" s="206"/>
      <c r="BT76" s="206"/>
      <c r="BU76" s="206"/>
      <c r="BV76" s="206"/>
      <c r="BW76" s="206"/>
    </row>
    <row r="77" spans="2:75"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</row>
    <row r="78" spans="2:75"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</row>
    <row r="79" spans="2:75"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  <c r="BJ79" s="206"/>
      <c r="BK79" s="206"/>
      <c r="BL79" s="206"/>
      <c r="BM79" s="206"/>
      <c r="BN79" s="206"/>
      <c r="BO79" s="206"/>
      <c r="BP79" s="206"/>
      <c r="BQ79" s="206"/>
      <c r="BR79" s="206"/>
      <c r="BS79" s="206"/>
      <c r="BT79" s="206"/>
      <c r="BU79" s="206"/>
      <c r="BV79" s="206"/>
      <c r="BW79" s="206"/>
    </row>
    <row r="80" spans="2:75"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  <c r="BJ80" s="206"/>
      <c r="BK80" s="206"/>
      <c r="BL80" s="206"/>
      <c r="BM80" s="206"/>
      <c r="BN80" s="206"/>
      <c r="BO80" s="206"/>
      <c r="BP80" s="206"/>
      <c r="BQ80" s="206"/>
      <c r="BR80" s="206"/>
      <c r="BS80" s="206"/>
      <c r="BT80" s="206"/>
      <c r="BU80" s="206"/>
      <c r="BV80" s="206"/>
      <c r="BW80" s="206"/>
    </row>
    <row r="81" spans="2:75">
      <c r="B81" s="206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  <c r="BJ81" s="206"/>
      <c r="BK81" s="206"/>
      <c r="BL81" s="206"/>
      <c r="BM81" s="206"/>
      <c r="BN81" s="206"/>
      <c r="BO81" s="206"/>
      <c r="BP81" s="206"/>
      <c r="BQ81" s="206"/>
      <c r="BR81" s="206"/>
      <c r="BS81" s="206"/>
      <c r="BT81" s="206"/>
      <c r="BU81" s="206"/>
      <c r="BV81" s="206"/>
      <c r="BW81" s="206"/>
    </row>
    <row r="82" spans="2:75"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  <c r="BJ82" s="206"/>
      <c r="BK82" s="206"/>
      <c r="BL82" s="206"/>
      <c r="BM82" s="206"/>
      <c r="BN82" s="206"/>
      <c r="BO82" s="206"/>
      <c r="BP82" s="206"/>
      <c r="BQ82" s="206"/>
      <c r="BR82" s="206"/>
      <c r="BS82" s="206"/>
      <c r="BT82" s="206"/>
      <c r="BU82" s="206"/>
      <c r="BV82" s="206"/>
      <c r="BW82" s="206"/>
    </row>
    <row r="83" spans="2:75">
      <c r="B83" s="206"/>
    </row>
  </sheetData>
  <mergeCells count="123">
    <mergeCell ref="AO4:AO5"/>
    <mergeCell ref="T4:T5"/>
    <mergeCell ref="V4:V5"/>
    <mergeCell ref="W4:W5"/>
    <mergeCell ref="AC3:AD3"/>
    <mergeCell ref="AE3:AE6"/>
    <mergeCell ref="AB4:AB5"/>
    <mergeCell ref="AC4:AC5"/>
    <mergeCell ref="AD4:AD5"/>
    <mergeCell ref="AI4:AI5"/>
    <mergeCell ref="AJ4:AJ5"/>
    <mergeCell ref="AA3:AB3"/>
    <mergeCell ref="AA4:AA5"/>
    <mergeCell ref="X4:X5"/>
    <mergeCell ref="BW4:BW5"/>
    <mergeCell ref="BQ4:BQ5"/>
    <mergeCell ref="BR4:BR5"/>
    <mergeCell ref="BS4:BS5"/>
    <mergeCell ref="BT4:BT5"/>
    <mergeCell ref="BU4:BU5"/>
    <mergeCell ref="BV4:BV5"/>
    <mergeCell ref="BK4:BK5"/>
    <mergeCell ref="BL4:BL5"/>
    <mergeCell ref="BM4:BM5"/>
    <mergeCell ref="BN4:BN5"/>
    <mergeCell ref="BO4:BO5"/>
    <mergeCell ref="BP4:BP5"/>
    <mergeCell ref="BL3:BM3"/>
    <mergeCell ref="BN3:BO3"/>
    <mergeCell ref="BG3:BH3"/>
    <mergeCell ref="BI3:BI6"/>
    <mergeCell ref="BJ3:BK3"/>
    <mergeCell ref="AK4:AK5"/>
    <mergeCell ref="AZ4:AZ5"/>
    <mergeCell ref="BP3:BQ3"/>
    <mergeCell ref="BR3:BS3"/>
    <mergeCell ref="AW4:AW5"/>
    <mergeCell ref="AX4:AX5"/>
    <mergeCell ref="AY4:AY5"/>
    <mergeCell ref="BA3:BB3"/>
    <mergeCell ref="AV4:AV5"/>
    <mergeCell ref="BC4:BC5"/>
    <mergeCell ref="BD4:BD5"/>
    <mergeCell ref="BE4:BE5"/>
    <mergeCell ref="BF4:BF5"/>
    <mergeCell ref="BG4:BG5"/>
    <mergeCell ref="BH4:BH5"/>
    <mergeCell ref="BJ4:BJ5"/>
    <mergeCell ref="BC3:BD3"/>
    <mergeCell ref="BE3:BF3"/>
    <mergeCell ref="AU3:AV3"/>
    <mergeCell ref="AW3:AX3"/>
    <mergeCell ref="AY3:AZ3"/>
    <mergeCell ref="BA4:BA5"/>
    <mergeCell ref="BB4:BB5"/>
    <mergeCell ref="F4:F5"/>
    <mergeCell ref="G4:G5"/>
    <mergeCell ref="H4:H5"/>
    <mergeCell ref="J4:J5"/>
    <mergeCell ref="K4:K5"/>
    <mergeCell ref="L4:L5"/>
    <mergeCell ref="U3:V3"/>
    <mergeCell ref="W3:X3"/>
    <mergeCell ref="Y3:Z3"/>
    <mergeCell ref="U4:U5"/>
    <mergeCell ref="I4:I5"/>
    <mergeCell ref="S3:T3"/>
    <mergeCell ref="M4:M5"/>
    <mergeCell ref="N4:N5"/>
    <mergeCell ref="R4:R5"/>
    <mergeCell ref="S4:S5"/>
    <mergeCell ref="O4:O5"/>
    <mergeCell ref="Y4:Y5"/>
    <mergeCell ref="Z4:Z5"/>
    <mergeCell ref="Q4:Q5"/>
    <mergeCell ref="BV3:BW3"/>
    <mergeCell ref="B4:B5"/>
    <mergeCell ref="AY1:AZ1"/>
    <mergeCell ref="BF1:BH1"/>
    <mergeCell ref="BN1:BO1"/>
    <mergeCell ref="AR4:AR5"/>
    <mergeCell ref="AS4:AS5"/>
    <mergeCell ref="AU4:AU5"/>
    <mergeCell ref="AR3:AS3"/>
    <mergeCell ref="AT3:AT6"/>
    <mergeCell ref="AF3:AG3"/>
    <mergeCell ref="AH3:AI3"/>
    <mergeCell ref="AJ3:AK3"/>
    <mergeCell ref="AL3:AM3"/>
    <mergeCell ref="AN3:AO3"/>
    <mergeCell ref="AP3:AQ3"/>
    <mergeCell ref="AF4:AF5"/>
    <mergeCell ref="AG4:AG5"/>
    <mergeCell ref="AH4:AH5"/>
    <mergeCell ref="AP4:AP5"/>
    <mergeCell ref="AQ4:AQ5"/>
    <mergeCell ref="AL4:AL5"/>
    <mergeCell ref="AM4:AM5"/>
    <mergeCell ref="AN4:AN5"/>
    <mergeCell ref="I55:M55"/>
    <mergeCell ref="AF55:AK55"/>
    <mergeCell ref="C4:C5"/>
    <mergeCell ref="D4:D5"/>
    <mergeCell ref="E4:E5"/>
    <mergeCell ref="BU1:BW1"/>
    <mergeCell ref="AC2:AD2"/>
    <mergeCell ref="A3:A6"/>
    <mergeCell ref="B3:C3"/>
    <mergeCell ref="D3:E3"/>
    <mergeCell ref="F3:G3"/>
    <mergeCell ref="H3:I3"/>
    <mergeCell ref="F1:G1"/>
    <mergeCell ref="M1:O1"/>
    <mergeCell ref="U1:V1"/>
    <mergeCell ref="AB1:AD1"/>
    <mergeCell ref="AJ1:AK1"/>
    <mergeCell ref="AQ1:AS1"/>
    <mergeCell ref="J3:K3"/>
    <mergeCell ref="L3:M3"/>
    <mergeCell ref="N3:O3"/>
    <mergeCell ref="P3:P6"/>
    <mergeCell ref="Q3:R3"/>
    <mergeCell ref="BT3:BU3"/>
  </mergeCells>
  <pageMargins left="0.70866141732283505" right="0.70866141732283505" top="0.74803149606299202" bottom="0.74803149606299202" header="0.31496062992126" footer="0.511811023622047"/>
  <pageSetup paperSize="448" firstPageNumber="86" orientation="portrait" useFirstPageNumber="1" r:id="rId1"/>
  <headerFooter>
    <oddFooter>&amp;C&amp;"Times New Roman,Regular"&amp;8&amp;P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AJ60"/>
  <sheetViews>
    <sheetView zoomScale="130" zoomScaleNormal="130" workbookViewId="0">
      <pane xSplit="1" ySplit="3" topLeftCell="B40" activePane="bottomRight" state="frozen"/>
      <selection activeCell="L47" sqref="L47"/>
      <selection pane="topRight" activeCell="L47" sqref="L47"/>
      <selection pane="bottomLeft" activeCell="L47" sqref="L47"/>
      <selection pane="bottomRight" activeCell="E61" sqref="E61"/>
    </sheetView>
  </sheetViews>
  <sheetFormatPr defaultColWidth="9.140625" defaultRowHeight="11.25"/>
  <cols>
    <col min="1" max="1" width="12.7109375" style="8" customWidth="1"/>
    <col min="2" max="2" width="9.42578125" style="8" customWidth="1"/>
    <col min="3" max="3" width="10.140625" style="8" customWidth="1"/>
    <col min="4" max="4" width="9.140625" style="8" customWidth="1"/>
    <col min="5" max="5" width="8.140625" style="8" customWidth="1"/>
    <col min="6" max="6" width="8.85546875" style="8" customWidth="1"/>
    <col min="7" max="7" width="8.42578125" style="8" customWidth="1"/>
    <col min="8" max="8" width="7.7109375" style="8" customWidth="1"/>
    <col min="9" max="9" width="8.42578125" style="8" customWidth="1"/>
    <col min="10" max="10" width="7.28515625" style="8" customWidth="1"/>
    <col min="11" max="11" width="7.140625" style="8" customWidth="1"/>
    <col min="12" max="12" width="7.7109375" style="8" customWidth="1"/>
    <col min="13" max="13" width="7.85546875" style="8" customWidth="1"/>
    <col min="14" max="14" width="7.5703125" style="8" customWidth="1"/>
    <col min="15" max="15" width="7.42578125" style="8" customWidth="1"/>
    <col min="16" max="17" width="7.28515625" style="8" customWidth="1"/>
    <col min="18" max="18" width="9" style="8" customWidth="1"/>
    <col min="19" max="19" width="9.28515625" style="8" customWidth="1"/>
    <col min="20" max="20" width="8.28515625" style="8" customWidth="1"/>
    <col min="21" max="21" width="8.42578125" style="8" customWidth="1"/>
    <col min="22" max="22" width="8.5703125" style="8" customWidth="1"/>
    <col min="23" max="23" width="8.28515625" style="8" customWidth="1"/>
    <col min="24" max="24" width="8.85546875" style="8" customWidth="1"/>
    <col min="25" max="25" width="8.140625" style="8" customWidth="1"/>
    <col min="26" max="26" width="8.5703125" style="8" customWidth="1"/>
    <col min="27" max="27" width="9" style="8" customWidth="1"/>
    <col min="28" max="28" width="9.140625" style="8" customWidth="1"/>
    <col min="29" max="29" width="8.5703125" style="8" customWidth="1"/>
    <col min="30" max="30" width="9.42578125" style="8" customWidth="1"/>
    <col min="31" max="31" width="9" style="8" customWidth="1"/>
    <col min="32" max="32" width="8.28515625" style="8" customWidth="1"/>
    <col min="33" max="33" width="7.7109375" style="8" customWidth="1"/>
    <col min="34" max="34" width="8.5703125" style="8" customWidth="1"/>
    <col min="35" max="35" width="7.42578125" style="8" customWidth="1"/>
    <col min="36" max="36" width="8.5703125" style="8" customWidth="1"/>
    <col min="37" max="37" width="10" style="8" customWidth="1"/>
    <col min="38" max="38" width="13.28515625" style="8" customWidth="1"/>
    <col min="39" max="39" width="15.42578125" style="8" customWidth="1"/>
    <col min="40" max="40" width="12.7109375" style="8" customWidth="1"/>
    <col min="41" max="42" width="9.140625" style="8"/>
    <col min="43" max="43" width="12.140625" style="8" customWidth="1"/>
    <col min="44" max="16384" width="9.140625" style="8"/>
  </cols>
  <sheetData>
    <row r="1" spans="1:36" s="166" customFormat="1" ht="15" customHeight="1">
      <c r="A1" s="2249" t="s">
        <v>474</v>
      </c>
      <c r="B1" s="2249"/>
      <c r="C1" s="2249"/>
      <c r="D1" s="2249"/>
      <c r="E1" s="2249"/>
      <c r="F1" s="2249"/>
      <c r="G1" s="2249"/>
      <c r="H1" s="2249"/>
      <c r="I1" s="2250" t="s">
        <v>475</v>
      </c>
      <c r="J1" s="2250"/>
      <c r="K1" s="2250"/>
      <c r="L1" s="2250"/>
      <c r="M1" s="2250"/>
      <c r="N1" s="2250"/>
      <c r="O1" s="431"/>
      <c r="P1" s="2248" t="s">
        <v>1460</v>
      </c>
      <c r="Q1" s="2248"/>
      <c r="R1" s="2248"/>
      <c r="S1" s="2249" t="s">
        <v>1132</v>
      </c>
      <c r="T1" s="2249"/>
      <c r="U1" s="2249"/>
      <c r="V1" s="2249"/>
      <c r="W1" s="2249"/>
      <c r="X1" s="2249"/>
      <c r="Y1" s="2249"/>
      <c r="Z1" s="2249"/>
      <c r="AA1" s="2249"/>
      <c r="AB1" s="2250" t="s">
        <v>475</v>
      </c>
      <c r="AC1" s="2250"/>
      <c r="AD1" s="2250"/>
      <c r="AE1" s="2250"/>
      <c r="AF1" s="2250"/>
      <c r="AG1" s="431"/>
      <c r="AH1" s="2248" t="s">
        <v>1461</v>
      </c>
      <c r="AI1" s="2248"/>
      <c r="AJ1" s="2248"/>
    </row>
    <row r="2" spans="1:36" s="19" customFormat="1" ht="10.5" customHeight="1">
      <c r="A2" s="55"/>
      <c r="B2" s="55"/>
      <c r="C2" s="55"/>
      <c r="E2" s="1416"/>
      <c r="H2" s="85"/>
      <c r="I2" s="1467"/>
      <c r="J2" s="85"/>
      <c r="K2" s="85"/>
      <c r="L2" s="85"/>
      <c r="M2" s="85"/>
      <c r="N2" s="85"/>
      <c r="O2" s="55"/>
      <c r="P2" s="55"/>
      <c r="Q2" s="2247" t="s">
        <v>816</v>
      </c>
      <c r="R2" s="2247"/>
      <c r="W2" s="1416"/>
      <c r="AI2" s="2247" t="s">
        <v>816</v>
      </c>
      <c r="AJ2" s="2247"/>
    </row>
    <row r="3" spans="1:36" s="106" customFormat="1" ht="39" customHeight="1">
      <c r="A3" s="1458" t="s">
        <v>1223</v>
      </c>
      <c r="B3" s="1458" t="s">
        <v>817</v>
      </c>
      <c r="C3" s="1458" t="s">
        <v>547</v>
      </c>
      <c r="D3" s="1458" t="s">
        <v>698</v>
      </c>
      <c r="E3" s="1458" t="s">
        <v>699</v>
      </c>
      <c r="F3" s="1458" t="s">
        <v>1115</v>
      </c>
      <c r="G3" s="1458" t="s">
        <v>1116</v>
      </c>
      <c r="H3" s="1458" t="s">
        <v>454</v>
      </c>
      <c r="I3" s="1458" t="s">
        <v>1117</v>
      </c>
      <c r="J3" s="1458" t="s">
        <v>701</v>
      </c>
      <c r="K3" s="1458" t="s">
        <v>1118</v>
      </c>
      <c r="L3" s="1458" t="s">
        <v>278</v>
      </c>
      <c r="M3" s="1458" t="s">
        <v>1119</v>
      </c>
      <c r="N3" s="1458" t="s">
        <v>1120</v>
      </c>
      <c r="O3" s="1458" t="s">
        <v>1121</v>
      </c>
      <c r="P3" s="1458" t="s">
        <v>1122</v>
      </c>
      <c r="Q3" s="1458" t="s">
        <v>704</v>
      </c>
      <c r="R3" s="1458" t="s">
        <v>705</v>
      </c>
      <c r="S3" s="1458" t="s">
        <v>1220</v>
      </c>
      <c r="T3" s="1458" t="s">
        <v>706</v>
      </c>
      <c r="U3" s="1458" t="s">
        <v>707</v>
      </c>
      <c r="V3" s="1458" t="s">
        <v>1123</v>
      </c>
      <c r="W3" s="1458" t="s">
        <v>709</v>
      </c>
      <c r="X3" s="1458" t="s">
        <v>1023</v>
      </c>
      <c r="Y3" s="1458" t="s">
        <v>1124</v>
      </c>
      <c r="Z3" s="1458" t="s">
        <v>1125</v>
      </c>
      <c r="AA3" s="1458" t="s">
        <v>548</v>
      </c>
      <c r="AB3" s="1458" t="s">
        <v>1126</v>
      </c>
      <c r="AC3" s="1458" t="s">
        <v>1127</v>
      </c>
      <c r="AD3" s="1468" t="s">
        <v>1128</v>
      </c>
      <c r="AE3" s="1458" t="s">
        <v>1024</v>
      </c>
      <c r="AF3" s="1458" t="s">
        <v>819</v>
      </c>
      <c r="AG3" s="1458" t="s">
        <v>715</v>
      </c>
      <c r="AH3" s="1458" t="s">
        <v>2059</v>
      </c>
      <c r="AI3" s="1458" t="s">
        <v>1700</v>
      </c>
      <c r="AJ3" s="1458" t="s">
        <v>1699</v>
      </c>
    </row>
    <row r="4" spans="1:36" ht="11.45" customHeight="1">
      <c r="A4" s="9" t="s">
        <v>83</v>
      </c>
      <c r="B4" s="17">
        <v>5.01</v>
      </c>
      <c r="C4" s="17">
        <v>-0.55000000000000004</v>
      </c>
      <c r="D4" s="17">
        <v>-0.01</v>
      </c>
      <c r="E4" s="17">
        <v>9.3800000000000008</v>
      </c>
      <c r="F4" s="17">
        <v>0.6</v>
      </c>
      <c r="G4" s="17">
        <v>-13.47</v>
      </c>
      <c r="H4" s="17">
        <v>-13.43</v>
      </c>
      <c r="I4" s="17">
        <v>-0.44</v>
      </c>
      <c r="J4" s="17">
        <v>3.45</v>
      </c>
      <c r="K4" s="17">
        <v>12.64</v>
      </c>
      <c r="L4" s="17">
        <v>-0.55000000000000004</v>
      </c>
      <c r="M4" s="17">
        <v>8.43</v>
      </c>
      <c r="N4" s="17">
        <v>-0.31</v>
      </c>
      <c r="O4" s="17">
        <v>8.1999999999999993</v>
      </c>
      <c r="P4" s="17">
        <v>0</v>
      </c>
      <c r="Q4" s="17">
        <v>4.55</v>
      </c>
      <c r="R4" s="17">
        <v>6.39</v>
      </c>
      <c r="S4" s="9" t="s">
        <v>83</v>
      </c>
      <c r="T4" s="17">
        <v>-0.04</v>
      </c>
      <c r="U4" s="17">
        <v>0.01</v>
      </c>
      <c r="V4" s="17">
        <v>-4.92</v>
      </c>
      <c r="W4" s="17">
        <v>4.01</v>
      </c>
      <c r="X4" s="17">
        <v>-0.01</v>
      </c>
      <c r="Y4" s="203">
        <v>-0.52</v>
      </c>
      <c r="Z4" s="203">
        <v>-0.01</v>
      </c>
      <c r="AA4" s="203">
        <v>5.81</v>
      </c>
      <c r="AB4" s="203">
        <v>3.45</v>
      </c>
      <c r="AC4" s="203">
        <v>-1.58</v>
      </c>
      <c r="AD4" s="203">
        <v>1.3</v>
      </c>
      <c r="AE4" s="203">
        <v>0.06</v>
      </c>
      <c r="AF4" s="203">
        <v>1.92</v>
      </c>
      <c r="AG4" s="203">
        <v>-4.8499999999999996</v>
      </c>
      <c r="AH4" s="203">
        <v>5.0599999999999996</v>
      </c>
      <c r="AI4" s="203">
        <v>0</v>
      </c>
      <c r="AJ4" s="203">
        <v>-9.07</v>
      </c>
    </row>
    <row r="5" spans="1:36" ht="11.45" customHeight="1">
      <c r="A5" s="376" t="s">
        <v>225</v>
      </c>
      <c r="B5" s="372">
        <v>25.89</v>
      </c>
      <c r="C5" s="372">
        <v>-6.34</v>
      </c>
      <c r="D5" s="372">
        <v>-0.01</v>
      </c>
      <c r="E5" s="372">
        <v>8.98</v>
      </c>
      <c r="F5" s="372">
        <v>4.93</v>
      </c>
      <c r="G5" s="372">
        <v>18.23</v>
      </c>
      <c r="H5" s="372">
        <v>18.39</v>
      </c>
      <c r="I5" s="372">
        <v>0.01</v>
      </c>
      <c r="J5" s="372">
        <v>3.74</v>
      </c>
      <c r="K5" s="372">
        <v>5.5</v>
      </c>
      <c r="L5" s="372">
        <v>-6.22</v>
      </c>
      <c r="M5" s="372">
        <v>9.65</v>
      </c>
      <c r="N5" s="372">
        <v>5.92</v>
      </c>
      <c r="O5" s="372">
        <v>7.84</v>
      </c>
      <c r="P5" s="372">
        <v>0</v>
      </c>
      <c r="Q5" s="372">
        <v>3.05</v>
      </c>
      <c r="R5" s="372">
        <v>19.25</v>
      </c>
      <c r="S5" s="376" t="s">
        <v>225</v>
      </c>
      <c r="T5" s="372">
        <v>20.96</v>
      </c>
      <c r="U5" s="372">
        <v>0</v>
      </c>
      <c r="V5" s="372">
        <v>-0.84</v>
      </c>
      <c r="W5" s="372">
        <v>6.77</v>
      </c>
      <c r="X5" s="372">
        <v>-0.05</v>
      </c>
      <c r="Y5" s="389">
        <v>11.69</v>
      </c>
      <c r="Z5" s="389">
        <v>0.01</v>
      </c>
      <c r="AA5" s="389">
        <v>12.92</v>
      </c>
      <c r="AB5" s="389">
        <v>13.77</v>
      </c>
      <c r="AC5" s="389">
        <v>23.15</v>
      </c>
      <c r="AD5" s="389">
        <v>3.56</v>
      </c>
      <c r="AE5" s="389">
        <v>29.66</v>
      </c>
      <c r="AF5" s="389">
        <v>-1.1399999999999999</v>
      </c>
      <c r="AG5" s="389">
        <v>8.27</v>
      </c>
      <c r="AH5" s="389">
        <v>5.23</v>
      </c>
      <c r="AI5" s="389">
        <v>0</v>
      </c>
      <c r="AJ5" s="389">
        <v>6.65</v>
      </c>
    </row>
    <row r="6" spans="1:36" s="213" customFormat="1" ht="11.45" customHeight="1">
      <c r="A6" s="211" t="s">
        <v>972</v>
      </c>
      <c r="B6" s="36">
        <v>-4.16</v>
      </c>
      <c r="C6" s="36">
        <v>-9.3800000000000008</v>
      </c>
      <c r="D6" s="36">
        <v>0.01</v>
      </c>
      <c r="E6" s="36">
        <v>-4.59</v>
      </c>
      <c r="F6" s="36">
        <v>2.3199999999999998</v>
      </c>
      <c r="G6" s="36">
        <v>-12.1</v>
      </c>
      <c r="H6" s="36">
        <v>-12.4</v>
      </c>
      <c r="I6" s="36">
        <v>0.38</v>
      </c>
      <c r="J6" s="36">
        <v>-19.38</v>
      </c>
      <c r="K6" s="36">
        <v>8.4700000000000006</v>
      </c>
      <c r="L6" s="36">
        <v>-13.15</v>
      </c>
      <c r="M6" s="36">
        <v>1.1100000000000001</v>
      </c>
      <c r="N6" s="36">
        <v>-1.96</v>
      </c>
      <c r="O6" s="36">
        <v>-4.7699999999999996</v>
      </c>
      <c r="P6" s="36">
        <v>0</v>
      </c>
      <c r="Q6" s="36">
        <v>-20.63</v>
      </c>
      <c r="R6" s="36">
        <v>-2.97</v>
      </c>
      <c r="S6" s="211" t="s">
        <v>972</v>
      </c>
      <c r="T6" s="36">
        <v>-9.77</v>
      </c>
      <c r="U6" s="36">
        <v>0</v>
      </c>
      <c r="V6" s="36">
        <v>-8.94</v>
      </c>
      <c r="W6" s="36">
        <v>3.29</v>
      </c>
      <c r="X6" s="36">
        <v>0.02</v>
      </c>
      <c r="Y6" s="625">
        <v>-14.8</v>
      </c>
      <c r="Z6" s="625">
        <v>-0.01</v>
      </c>
      <c r="AA6" s="625">
        <v>-6.01</v>
      </c>
      <c r="AB6" s="625">
        <v>-2.57</v>
      </c>
      <c r="AC6" s="625">
        <v>-8.85</v>
      </c>
      <c r="AD6" s="625">
        <v>-17.760000000000002</v>
      </c>
      <c r="AE6" s="625">
        <v>-12.17</v>
      </c>
      <c r="AF6" s="625">
        <v>-25.91</v>
      </c>
      <c r="AG6" s="625">
        <v>-4.99</v>
      </c>
      <c r="AH6" s="625">
        <v>-2.56</v>
      </c>
      <c r="AI6" s="625">
        <v>0</v>
      </c>
      <c r="AJ6" s="625">
        <v>-2.48</v>
      </c>
    </row>
    <row r="7" spans="1:36" s="213" customFormat="1" ht="11.45" customHeight="1">
      <c r="A7" s="376" t="s">
        <v>1107</v>
      </c>
      <c r="B7" s="372">
        <v>-10.71</v>
      </c>
      <c r="C7" s="372">
        <v>5.21</v>
      </c>
      <c r="D7" s="372">
        <v>0</v>
      </c>
      <c r="E7" s="372">
        <v>-3.35</v>
      </c>
      <c r="F7" s="372">
        <v>2.37</v>
      </c>
      <c r="G7" s="372">
        <v>2.58</v>
      </c>
      <c r="H7" s="372">
        <v>2.92</v>
      </c>
      <c r="I7" s="372">
        <v>0.02</v>
      </c>
      <c r="J7" s="372">
        <v>-6.75</v>
      </c>
      <c r="K7" s="372">
        <v>-5.37</v>
      </c>
      <c r="L7" s="372">
        <v>0.04</v>
      </c>
      <c r="M7" s="372">
        <v>-19.53</v>
      </c>
      <c r="N7" s="372">
        <v>-1.86</v>
      </c>
      <c r="O7" s="372">
        <v>0.35</v>
      </c>
      <c r="P7" s="372">
        <v>0</v>
      </c>
      <c r="Q7" s="372">
        <v>-4.8600000000000003</v>
      </c>
      <c r="R7" s="372">
        <v>-3.26</v>
      </c>
      <c r="S7" s="376" t="s">
        <v>1107</v>
      </c>
      <c r="T7" s="372">
        <v>-1.79</v>
      </c>
      <c r="U7" s="372">
        <v>0</v>
      </c>
      <c r="V7" s="372">
        <v>-4.99</v>
      </c>
      <c r="W7" s="372">
        <v>-2.56</v>
      </c>
      <c r="X7" s="372">
        <v>0.01</v>
      </c>
      <c r="Y7" s="389">
        <v>-0.22</v>
      </c>
      <c r="Z7" s="389">
        <v>0.01</v>
      </c>
      <c r="AA7" s="389">
        <v>0.3</v>
      </c>
      <c r="AB7" s="389">
        <v>-0.15</v>
      </c>
      <c r="AC7" s="389">
        <v>3.24</v>
      </c>
      <c r="AD7" s="389">
        <v>2.04</v>
      </c>
      <c r="AE7" s="389">
        <v>0.57999999999999996</v>
      </c>
      <c r="AF7" s="389">
        <v>-36.24</v>
      </c>
      <c r="AG7" s="389">
        <v>-0.89</v>
      </c>
      <c r="AH7" s="389">
        <v>1.76</v>
      </c>
      <c r="AI7" s="389">
        <v>0</v>
      </c>
      <c r="AJ7" s="389">
        <v>-2.96</v>
      </c>
    </row>
    <row r="8" spans="1:36" s="324" customFormat="1" ht="11.45" customHeight="1">
      <c r="A8" s="878" t="s">
        <v>1347</v>
      </c>
      <c r="B8" s="295">
        <v>3.09</v>
      </c>
      <c r="C8" s="295">
        <v>0.17</v>
      </c>
      <c r="D8" s="295">
        <v>0</v>
      </c>
      <c r="E8" s="295">
        <v>-1.3</v>
      </c>
      <c r="F8" s="295">
        <v>0.42</v>
      </c>
      <c r="G8" s="295">
        <v>4.9400000000000004</v>
      </c>
      <c r="H8" s="295">
        <v>4.9000000000000004</v>
      </c>
      <c r="I8" s="295">
        <v>0.06</v>
      </c>
      <c r="J8" s="295">
        <v>-0.86</v>
      </c>
      <c r="K8" s="295">
        <v>-17.149999999999999</v>
      </c>
      <c r="L8" s="295">
        <v>-52.09</v>
      </c>
      <c r="M8" s="295">
        <v>-2.16</v>
      </c>
      <c r="N8" s="295">
        <v>1.22</v>
      </c>
      <c r="O8" s="295">
        <v>-1.54</v>
      </c>
      <c r="P8" s="295">
        <v>0</v>
      </c>
      <c r="Q8" s="295">
        <v>-0.71</v>
      </c>
      <c r="R8" s="295">
        <v>13.34</v>
      </c>
      <c r="S8" s="878" t="s">
        <v>1347</v>
      </c>
      <c r="T8" s="295">
        <v>-0.86</v>
      </c>
      <c r="U8" s="295">
        <v>0</v>
      </c>
      <c r="V8" s="295">
        <v>0.86</v>
      </c>
      <c r="W8" s="295">
        <v>-1.28</v>
      </c>
      <c r="X8" s="295">
        <v>-0.02</v>
      </c>
      <c r="Y8" s="295">
        <v>-2.2799999999999998</v>
      </c>
      <c r="Z8" s="295">
        <v>-0.01</v>
      </c>
      <c r="AA8" s="295">
        <v>12.42</v>
      </c>
      <c r="AB8" s="295">
        <v>1.42</v>
      </c>
      <c r="AC8" s="295">
        <v>-0.51</v>
      </c>
      <c r="AD8" s="295">
        <v>0.16</v>
      </c>
      <c r="AE8" s="295">
        <v>6.06</v>
      </c>
      <c r="AF8" s="295">
        <v>-32.82</v>
      </c>
      <c r="AG8" s="295">
        <v>2.67</v>
      </c>
      <c r="AH8" s="295">
        <v>-4.33</v>
      </c>
      <c r="AI8" s="295">
        <v>0.01</v>
      </c>
      <c r="AJ8" s="295">
        <v>12.04</v>
      </c>
    </row>
    <row r="9" spans="1:36" s="324" customFormat="1" ht="11.45" customHeight="1">
      <c r="A9" s="965" t="s">
        <v>1406</v>
      </c>
      <c r="B9" s="472">
        <v>-18.440000000000001</v>
      </c>
      <c r="C9" s="472">
        <v>-0.22</v>
      </c>
      <c r="D9" s="472">
        <v>-0.01</v>
      </c>
      <c r="E9" s="472">
        <v>-13.97</v>
      </c>
      <c r="F9" s="472">
        <v>0.64</v>
      </c>
      <c r="G9" s="472">
        <v>-17.73</v>
      </c>
      <c r="H9" s="472">
        <v>-17.670000000000002</v>
      </c>
      <c r="I9" s="472">
        <v>-0.01</v>
      </c>
      <c r="J9" s="472">
        <v>-5.75</v>
      </c>
      <c r="K9" s="472">
        <v>-10.130000000000001</v>
      </c>
      <c r="L9" s="472">
        <v>-12.59</v>
      </c>
      <c r="M9" s="472">
        <v>-17.21</v>
      </c>
      <c r="N9" s="472">
        <v>-6.77</v>
      </c>
      <c r="O9" s="472">
        <v>-15.23</v>
      </c>
      <c r="P9" s="472">
        <v>-99.43</v>
      </c>
      <c r="Q9" s="472">
        <v>-5.44</v>
      </c>
      <c r="R9" s="472">
        <v>-21.92</v>
      </c>
      <c r="S9" s="965" t="s">
        <v>1406</v>
      </c>
      <c r="T9" s="472">
        <v>-22.06</v>
      </c>
      <c r="U9" s="472">
        <v>0.01</v>
      </c>
      <c r="V9" s="472">
        <v>-3.09</v>
      </c>
      <c r="W9" s="472">
        <v>-3.09</v>
      </c>
      <c r="X9" s="472">
        <v>-0.01</v>
      </c>
      <c r="Y9" s="472">
        <v>-39.450000000000003</v>
      </c>
      <c r="Z9" s="472">
        <v>-0.01</v>
      </c>
      <c r="AA9" s="472">
        <v>-9.57</v>
      </c>
      <c r="AB9" s="472">
        <v>-7.17</v>
      </c>
      <c r="AC9" s="472">
        <v>-18.239999999999998</v>
      </c>
      <c r="AD9" s="472">
        <v>-2.5499999999999998</v>
      </c>
      <c r="AE9" s="472">
        <v>-3.8</v>
      </c>
      <c r="AF9" s="472">
        <v>-31.24</v>
      </c>
      <c r="AG9" s="472">
        <v>-9.1199999999999992</v>
      </c>
      <c r="AH9" s="472">
        <v>-3.91</v>
      </c>
      <c r="AI9" s="472">
        <v>0</v>
      </c>
      <c r="AJ9" s="472">
        <v>-7.63</v>
      </c>
    </row>
    <row r="10" spans="1:36" s="324" customFormat="1" ht="11.45" customHeight="1">
      <c r="A10" s="1046" t="s">
        <v>1560</v>
      </c>
      <c r="B10" s="456">
        <v>-3.89</v>
      </c>
      <c r="C10" s="456">
        <v>-0.76</v>
      </c>
      <c r="D10" s="456">
        <v>-0.08</v>
      </c>
      <c r="E10" s="456">
        <v>-4.84</v>
      </c>
      <c r="F10" s="456">
        <v>-7.82</v>
      </c>
      <c r="G10" s="456">
        <v>-1.31</v>
      </c>
      <c r="H10" s="456">
        <v>-1.52</v>
      </c>
      <c r="I10" s="456">
        <v>-0.08</v>
      </c>
      <c r="J10" s="456">
        <v>-5.91</v>
      </c>
      <c r="K10" s="456">
        <v>1.28</v>
      </c>
      <c r="L10" s="456">
        <v>-2.61</v>
      </c>
      <c r="M10" s="456">
        <v>19.25</v>
      </c>
      <c r="N10" s="456">
        <v>0.05</v>
      </c>
      <c r="O10" s="456">
        <v>-6.68</v>
      </c>
      <c r="P10" s="456">
        <v>-5.53</v>
      </c>
      <c r="Q10" s="456">
        <v>-6.41</v>
      </c>
      <c r="R10" s="456">
        <v>2.8</v>
      </c>
      <c r="S10" s="1046" t="s">
        <v>1560</v>
      </c>
      <c r="T10" s="456">
        <v>-7.3</v>
      </c>
      <c r="U10" s="456">
        <v>-0.01</v>
      </c>
      <c r="V10" s="456">
        <v>-2.68</v>
      </c>
      <c r="W10" s="456">
        <v>-3.89</v>
      </c>
      <c r="X10" s="456">
        <v>0</v>
      </c>
      <c r="Y10" s="456">
        <v>-13.36</v>
      </c>
      <c r="Z10" s="456">
        <v>0.01</v>
      </c>
      <c r="AA10" s="456">
        <v>-3.69</v>
      </c>
      <c r="AB10" s="456">
        <v>-0.55000000000000004</v>
      </c>
      <c r="AC10" s="456">
        <v>-3.04</v>
      </c>
      <c r="AD10" s="456">
        <v>-9.5299999999999994</v>
      </c>
      <c r="AE10" s="456">
        <v>-5.73</v>
      </c>
      <c r="AF10" s="456">
        <v>0.35</v>
      </c>
      <c r="AG10" s="456">
        <v>-0.56999999999999995</v>
      </c>
      <c r="AH10" s="456">
        <v>-4.17</v>
      </c>
      <c r="AI10" s="456">
        <v>0</v>
      </c>
      <c r="AJ10" s="456">
        <v>-15.21</v>
      </c>
    </row>
    <row r="11" spans="1:36" s="324" customFormat="1" ht="11.45" customHeight="1">
      <c r="A11" s="1321" t="s">
        <v>1596</v>
      </c>
      <c r="B11" s="472">
        <v>4.01</v>
      </c>
      <c r="C11" s="472">
        <v>-2.72</v>
      </c>
      <c r="D11" s="472">
        <v>0.03</v>
      </c>
      <c r="E11" s="472">
        <v>0.15</v>
      </c>
      <c r="F11" s="472">
        <v>-2.1</v>
      </c>
      <c r="G11" s="472">
        <v>3.51</v>
      </c>
      <c r="H11" s="472">
        <v>3.38</v>
      </c>
      <c r="I11" s="472">
        <v>-0.6</v>
      </c>
      <c r="J11" s="472">
        <v>4.72</v>
      </c>
      <c r="K11" s="472">
        <v>-1.24</v>
      </c>
      <c r="L11" s="472">
        <v>-7.34</v>
      </c>
      <c r="M11" s="472">
        <v>-8.4</v>
      </c>
      <c r="N11" s="472">
        <v>-0.4</v>
      </c>
      <c r="O11" s="472">
        <v>-5.53</v>
      </c>
      <c r="P11" s="472">
        <v>-13.2</v>
      </c>
      <c r="Q11" s="472">
        <v>5.32</v>
      </c>
      <c r="R11" s="472">
        <v>3.58</v>
      </c>
      <c r="S11" s="1321" t="s">
        <v>1596</v>
      </c>
      <c r="T11" s="472">
        <v>1.07</v>
      </c>
      <c r="U11" s="472">
        <v>-0.05</v>
      </c>
      <c r="V11" s="472">
        <v>-0.2</v>
      </c>
      <c r="W11" s="472">
        <v>-6.8</v>
      </c>
      <c r="X11" s="472">
        <v>-2.5099999999999998</v>
      </c>
      <c r="Y11" s="472">
        <v>8.65</v>
      </c>
      <c r="Z11" s="472">
        <v>0.01</v>
      </c>
      <c r="AA11" s="472">
        <v>1.68</v>
      </c>
      <c r="AB11" s="472">
        <v>-1.86</v>
      </c>
      <c r="AC11" s="472">
        <v>0.46</v>
      </c>
      <c r="AD11" s="472">
        <v>-3.74</v>
      </c>
      <c r="AE11" s="472">
        <v>2.76</v>
      </c>
      <c r="AF11" s="472">
        <v>-57.91</v>
      </c>
      <c r="AG11" s="472">
        <v>-0.33</v>
      </c>
      <c r="AH11" s="472">
        <v>3.75</v>
      </c>
      <c r="AI11" s="472">
        <v>-0.01</v>
      </c>
      <c r="AJ11" s="472">
        <v>-2.52</v>
      </c>
    </row>
    <row r="12" spans="1:36" s="324" customFormat="1" ht="11.45" customHeight="1">
      <c r="A12" s="877" t="s">
        <v>1756</v>
      </c>
      <c r="B12" s="808">
        <v>-4.29</v>
      </c>
      <c r="C12" s="808">
        <v>-3.74</v>
      </c>
      <c r="D12" s="808">
        <v>-0.21</v>
      </c>
      <c r="E12" s="808">
        <v>-1.83</v>
      </c>
      <c r="F12" s="808">
        <v>2.38</v>
      </c>
      <c r="G12" s="808">
        <v>0.88</v>
      </c>
      <c r="H12" s="808">
        <v>1.1200000000000001</v>
      </c>
      <c r="I12" s="808">
        <v>-0.54</v>
      </c>
      <c r="J12" s="808">
        <v>-6.07</v>
      </c>
      <c r="K12" s="808">
        <v>-7.22</v>
      </c>
      <c r="L12" s="808">
        <v>-23.72</v>
      </c>
      <c r="M12" s="808">
        <v>1.52</v>
      </c>
      <c r="N12" s="808">
        <v>0.28000000000000003</v>
      </c>
      <c r="O12" s="808">
        <v>6.39</v>
      </c>
      <c r="P12" s="808">
        <v>-3.88</v>
      </c>
      <c r="Q12" s="808">
        <v>-5.28</v>
      </c>
      <c r="R12" s="808">
        <v>-7.46</v>
      </c>
      <c r="S12" s="877" t="s">
        <v>1756</v>
      </c>
      <c r="T12" s="808">
        <v>2.41</v>
      </c>
      <c r="U12" s="808">
        <v>0.05</v>
      </c>
      <c r="V12" s="808">
        <v>-13.86</v>
      </c>
      <c r="W12" s="808">
        <v>-5.49</v>
      </c>
      <c r="X12" s="808">
        <v>2.58</v>
      </c>
      <c r="Y12" s="808">
        <v>-6.27</v>
      </c>
      <c r="Z12" s="808">
        <v>-0.01</v>
      </c>
      <c r="AA12" s="808">
        <v>2.57</v>
      </c>
      <c r="AB12" s="808">
        <v>0.84</v>
      </c>
      <c r="AC12" s="808">
        <v>-5.58</v>
      </c>
      <c r="AD12" s="808">
        <v>-3.02</v>
      </c>
      <c r="AE12" s="808">
        <v>-4.18</v>
      </c>
      <c r="AF12" s="808">
        <v>0</v>
      </c>
      <c r="AG12" s="808">
        <v>1.03</v>
      </c>
      <c r="AH12" s="808">
        <v>2.52</v>
      </c>
      <c r="AI12" s="808">
        <v>-0.01</v>
      </c>
      <c r="AJ12" s="808">
        <v>0.55000000000000004</v>
      </c>
    </row>
    <row r="13" spans="1:36" s="324" customFormat="1" ht="11.45" customHeight="1">
      <c r="A13" s="806" t="s">
        <v>1904</v>
      </c>
      <c r="B13" s="686">
        <v>-4.54</v>
      </c>
      <c r="C13" s="686">
        <v>-0.92</v>
      </c>
      <c r="D13" s="686">
        <v>0.28000000000000003</v>
      </c>
      <c r="E13" s="686">
        <v>1.18</v>
      </c>
      <c r="F13" s="686">
        <v>-3.75</v>
      </c>
      <c r="G13" s="686">
        <v>-1.86</v>
      </c>
      <c r="H13" s="686">
        <v>-1.72</v>
      </c>
      <c r="I13" s="686">
        <v>0.45</v>
      </c>
      <c r="J13" s="686">
        <v>-0.16</v>
      </c>
      <c r="K13" s="686">
        <v>1.68</v>
      </c>
      <c r="L13" s="686">
        <v>1.4</v>
      </c>
      <c r="M13" s="686">
        <v>2.41</v>
      </c>
      <c r="N13" s="686">
        <v>-0.33</v>
      </c>
      <c r="O13" s="686">
        <v>-2.34</v>
      </c>
      <c r="P13" s="686">
        <v>-6.34</v>
      </c>
      <c r="Q13" s="686">
        <v>-4.32</v>
      </c>
      <c r="R13" s="686">
        <v>-0.55000000000000004</v>
      </c>
      <c r="S13" s="806" t="s">
        <v>1904</v>
      </c>
      <c r="T13" s="686">
        <v>-4.04</v>
      </c>
      <c r="U13" s="686">
        <v>0</v>
      </c>
      <c r="V13" s="686">
        <v>-25.37</v>
      </c>
      <c r="W13" s="686">
        <v>4.0599999999999996</v>
      </c>
      <c r="X13" s="686">
        <v>-0.01</v>
      </c>
      <c r="Y13" s="686">
        <v>-0.19</v>
      </c>
      <c r="Z13" s="686">
        <v>0</v>
      </c>
      <c r="AA13" s="686">
        <v>-3.63</v>
      </c>
      <c r="AB13" s="686">
        <v>1.1100000000000001</v>
      </c>
      <c r="AC13" s="686">
        <v>-3.46</v>
      </c>
      <c r="AD13" s="686">
        <v>-10.28</v>
      </c>
      <c r="AE13" s="686">
        <v>2.1800000000000002</v>
      </c>
      <c r="AF13" s="686">
        <v>0</v>
      </c>
      <c r="AG13" s="686">
        <v>-1.04</v>
      </c>
      <c r="AH13" s="686">
        <v>7.98</v>
      </c>
      <c r="AI13" s="686">
        <v>0</v>
      </c>
      <c r="AJ13" s="686">
        <v>-2.93</v>
      </c>
    </row>
    <row r="14" spans="1:36" s="324" customFormat="1" ht="11.45" customHeight="1">
      <c r="A14" s="696" t="s">
        <v>742</v>
      </c>
      <c r="B14" s="456">
        <v>0.71</v>
      </c>
      <c r="C14" s="456">
        <v>-0.03</v>
      </c>
      <c r="D14" s="456">
        <v>0.03</v>
      </c>
      <c r="E14" s="456">
        <v>1.61</v>
      </c>
      <c r="F14" s="456">
        <v>-2.93</v>
      </c>
      <c r="G14" s="456">
        <v>1.25</v>
      </c>
      <c r="H14" s="456">
        <v>1.18</v>
      </c>
      <c r="I14" s="456">
        <v>-0.01</v>
      </c>
      <c r="J14" s="456">
        <v>0.34</v>
      </c>
      <c r="K14" s="456">
        <v>-0.4</v>
      </c>
      <c r="L14" s="456">
        <v>-3.31</v>
      </c>
      <c r="M14" s="456">
        <v>-0.52</v>
      </c>
      <c r="N14" s="456">
        <v>-0.08</v>
      </c>
      <c r="O14" s="456">
        <v>-0.6</v>
      </c>
      <c r="P14" s="456">
        <v>-2.4700000000000002</v>
      </c>
      <c r="Q14" s="456">
        <v>-0.79</v>
      </c>
      <c r="R14" s="456">
        <v>0.99</v>
      </c>
      <c r="S14" s="696" t="s">
        <v>742</v>
      </c>
      <c r="T14" s="456">
        <v>0.66</v>
      </c>
      <c r="U14" s="456">
        <v>0.01</v>
      </c>
      <c r="V14" s="456">
        <v>0.1</v>
      </c>
      <c r="W14" s="456">
        <v>0.26</v>
      </c>
      <c r="X14" s="456">
        <v>0</v>
      </c>
      <c r="Y14" s="456">
        <v>1.4</v>
      </c>
      <c r="Z14" s="456">
        <v>0</v>
      </c>
      <c r="AA14" s="456">
        <v>-0.45</v>
      </c>
      <c r="AB14" s="456">
        <v>0.5</v>
      </c>
      <c r="AC14" s="456">
        <v>2.2999999999999998</v>
      </c>
      <c r="AD14" s="456">
        <v>-0.85</v>
      </c>
      <c r="AE14" s="456">
        <v>0.93</v>
      </c>
      <c r="AF14" s="456">
        <v>0</v>
      </c>
      <c r="AG14" s="456">
        <v>-0.11</v>
      </c>
      <c r="AH14" s="456">
        <v>-0.53</v>
      </c>
      <c r="AI14" s="456">
        <v>0</v>
      </c>
      <c r="AJ14" s="456">
        <v>0.42</v>
      </c>
    </row>
    <row r="15" spans="1:36" s="324" customFormat="1" ht="11.45" customHeight="1">
      <c r="A15" s="699" t="s">
        <v>743</v>
      </c>
      <c r="B15" s="472">
        <v>-1.3</v>
      </c>
      <c r="C15" s="472">
        <v>0</v>
      </c>
      <c r="D15" s="472">
        <v>0.2</v>
      </c>
      <c r="E15" s="472">
        <v>1.02</v>
      </c>
      <c r="F15" s="472">
        <v>0.08</v>
      </c>
      <c r="G15" s="472">
        <v>-0.11</v>
      </c>
      <c r="H15" s="472">
        <v>0.02</v>
      </c>
      <c r="I15" s="472">
        <v>0</v>
      </c>
      <c r="J15" s="472">
        <v>-2.74</v>
      </c>
      <c r="K15" s="472">
        <v>-1.6</v>
      </c>
      <c r="L15" s="472">
        <v>4.88</v>
      </c>
      <c r="M15" s="472">
        <v>-0.54</v>
      </c>
      <c r="N15" s="472">
        <v>0.02</v>
      </c>
      <c r="O15" s="472">
        <v>-1.1399999999999999</v>
      </c>
      <c r="P15" s="472">
        <v>-5.37</v>
      </c>
      <c r="Q15" s="472">
        <v>-2.13</v>
      </c>
      <c r="R15" s="472">
        <v>-1.55</v>
      </c>
      <c r="S15" s="699" t="s">
        <v>743</v>
      </c>
      <c r="T15" s="472">
        <v>-2.36</v>
      </c>
      <c r="U15" s="472">
        <v>-0.01</v>
      </c>
      <c r="V15" s="472">
        <v>-1.1399999999999999</v>
      </c>
      <c r="W15" s="472">
        <v>-0.51</v>
      </c>
      <c r="X15" s="472">
        <v>0</v>
      </c>
      <c r="Y15" s="472">
        <v>-8.5299999999999994</v>
      </c>
      <c r="Z15" s="472">
        <v>-0.01</v>
      </c>
      <c r="AA15" s="472">
        <v>0.91</v>
      </c>
      <c r="AB15" s="472">
        <v>-0.26</v>
      </c>
      <c r="AC15" s="472">
        <v>-4.22</v>
      </c>
      <c r="AD15" s="472">
        <v>-1.1100000000000001</v>
      </c>
      <c r="AE15" s="472">
        <v>1.83</v>
      </c>
      <c r="AF15" s="472">
        <v>0</v>
      </c>
      <c r="AG15" s="472">
        <v>-7.0000000000000007E-2</v>
      </c>
      <c r="AH15" s="472">
        <v>1.79</v>
      </c>
      <c r="AI15" s="472">
        <v>0</v>
      </c>
      <c r="AJ15" s="472">
        <v>-0.81</v>
      </c>
    </row>
    <row r="16" spans="1:36" s="14" customFormat="1" ht="11.45" customHeight="1">
      <c r="A16" s="696" t="s">
        <v>737</v>
      </c>
      <c r="B16" s="456">
        <v>-1.0900000000000001</v>
      </c>
      <c r="C16" s="456">
        <v>0</v>
      </c>
      <c r="D16" s="456">
        <v>0.05</v>
      </c>
      <c r="E16" s="456">
        <v>-0.02</v>
      </c>
      <c r="F16" s="456">
        <v>-0.99</v>
      </c>
      <c r="G16" s="456">
        <v>-0.89</v>
      </c>
      <c r="H16" s="456">
        <v>-0.85</v>
      </c>
      <c r="I16" s="456">
        <v>0.27</v>
      </c>
      <c r="J16" s="456">
        <v>-2.72</v>
      </c>
      <c r="K16" s="456">
        <v>-1.64</v>
      </c>
      <c r="L16" s="456">
        <v>0</v>
      </c>
      <c r="M16" s="456">
        <v>-1.78</v>
      </c>
      <c r="N16" s="456">
        <v>-0.2</v>
      </c>
      <c r="O16" s="456">
        <v>-0.75</v>
      </c>
      <c r="P16" s="456">
        <v>-1.1299999999999999</v>
      </c>
      <c r="Q16" s="456">
        <v>-3.35</v>
      </c>
      <c r="R16" s="456">
        <v>-1.47</v>
      </c>
      <c r="S16" s="696" t="s">
        <v>737</v>
      </c>
      <c r="T16" s="456">
        <v>2.25</v>
      </c>
      <c r="U16" s="456">
        <v>0</v>
      </c>
      <c r="V16" s="456">
        <v>-0.46</v>
      </c>
      <c r="W16" s="456">
        <v>-0.98</v>
      </c>
      <c r="X16" s="456">
        <v>-0.02</v>
      </c>
      <c r="Y16" s="456">
        <v>3.78</v>
      </c>
      <c r="Z16" s="456">
        <v>0.01</v>
      </c>
      <c r="AA16" s="456">
        <v>-0.08</v>
      </c>
      <c r="AB16" s="456">
        <v>-0.15</v>
      </c>
      <c r="AC16" s="456">
        <v>2.9</v>
      </c>
      <c r="AD16" s="456">
        <v>-4.5199999999999996</v>
      </c>
      <c r="AE16" s="456">
        <v>-1.18</v>
      </c>
      <c r="AF16" s="456">
        <v>0</v>
      </c>
      <c r="AG16" s="456">
        <v>-0.5</v>
      </c>
      <c r="AH16" s="456">
        <v>1.24</v>
      </c>
      <c r="AI16" s="456">
        <v>0</v>
      </c>
      <c r="AJ16" s="456">
        <v>0.03</v>
      </c>
    </row>
    <row r="17" spans="1:36" s="14" customFormat="1" ht="11.45" customHeight="1">
      <c r="A17" s="699" t="s">
        <v>744</v>
      </c>
      <c r="B17" s="472">
        <v>-1.72</v>
      </c>
      <c r="C17" s="472">
        <v>-0.12</v>
      </c>
      <c r="D17" s="472">
        <v>0.01</v>
      </c>
      <c r="E17" s="472">
        <v>-1.53</v>
      </c>
      <c r="F17" s="472">
        <v>-1.23</v>
      </c>
      <c r="G17" s="472">
        <v>-2.29</v>
      </c>
      <c r="H17" s="472">
        <v>-2.2799999999999998</v>
      </c>
      <c r="I17" s="472">
        <v>-0.2</v>
      </c>
      <c r="J17" s="472">
        <v>-1.59</v>
      </c>
      <c r="K17" s="472">
        <v>-2.09</v>
      </c>
      <c r="L17" s="472">
        <v>0</v>
      </c>
      <c r="M17" s="472">
        <v>0.53</v>
      </c>
      <c r="N17" s="472">
        <v>-0.2</v>
      </c>
      <c r="O17" s="472">
        <v>-1.05</v>
      </c>
      <c r="P17" s="472">
        <v>-3.15</v>
      </c>
      <c r="Q17" s="472">
        <v>-1.18</v>
      </c>
      <c r="R17" s="472">
        <v>-0.97</v>
      </c>
      <c r="S17" s="699" t="s">
        <v>744</v>
      </c>
      <c r="T17" s="472">
        <v>-3.17</v>
      </c>
      <c r="U17" s="472">
        <v>0.03</v>
      </c>
      <c r="V17" s="472">
        <v>-7.55</v>
      </c>
      <c r="W17" s="472">
        <v>0.85</v>
      </c>
      <c r="X17" s="472">
        <v>0.03</v>
      </c>
      <c r="Y17" s="472">
        <v>-0.02</v>
      </c>
      <c r="Z17" s="472">
        <v>-0.02</v>
      </c>
      <c r="AA17" s="472">
        <v>-2.6</v>
      </c>
      <c r="AB17" s="472">
        <v>-1.33</v>
      </c>
      <c r="AC17" s="472">
        <v>-3.15</v>
      </c>
      <c r="AD17" s="472">
        <v>-3.04</v>
      </c>
      <c r="AE17" s="472">
        <v>-2.29</v>
      </c>
      <c r="AF17" s="472">
        <v>0</v>
      </c>
      <c r="AG17" s="472">
        <v>-0.94</v>
      </c>
      <c r="AH17" s="472">
        <v>-2.8</v>
      </c>
      <c r="AI17" s="472">
        <v>0</v>
      </c>
      <c r="AJ17" s="472">
        <v>-2.4900000000000002</v>
      </c>
    </row>
    <row r="18" spans="1:36" s="14" customFormat="1" ht="11.45" customHeight="1">
      <c r="A18" s="696" t="s">
        <v>745</v>
      </c>
      <c r="B18" s="456">
        <v>3</v>
      </c>
      <c r="C18" s="456">
        <v>-0.06</v>
      </c>
      <c r="D18" s="456">
        <v>0</v>
      </c>
      <c r="E18" s="456">
        <v>-1.33</v>
      </c>
      <c r="F18" s="456">
        <v>0.42</v>
      </c>
      <c r="G18" s="456">
        <v>0.41</v>
      </c>
      <c r="H18" s="456">
        <v>0.43</v>
      </c>
      <c r="I18" s="456">
        <v>0.28000000000000003</v>
      </c>
      <c r="J18" s="456">
        <v>5.59</v>
      </c>
      <c r="K18" s="456">
        <v>6.03</v>
      </c>
      <c r="L18" s="456">
        <v>0</v>
      </c>
      <c r="M18" s="456">
        <v>-0.34</v>
      </c>
      <c r="N18" s="456">
        <v>-0.16</v>
      </c>
      <c r="O18" s="456">
        <v>-0.18</v>
      </c>
      <c r="P18" s="456">
        <v>1.1299999999999999</v>
      </c>
      <c r="Q18" s="456">
        <v>3.65</v>
      </c>
      <c r="R18" s="456">
        <v>4.6399999999999997</v>
      </c>
      <c r="S18" s="696" t="s">
        <v>745</v>
      </c>
      <c r="T18" s="456">
        <v>-1.43</v>
      </c>
      <c r="U18" s="456">
        <v>-0.03</v>
      </c>
      <c r="V18" s="456">
        <v>-0.59</v>
      </c>
      <c r="W18" s="456">
        <v>2.2200000000000002</v>
      </c>
      <c r="X18" s="456">
        <v>-0.02</v>
      </c>
      <c r="Y18" s="456">
        <v>-2.13</v>
      </c>
      <c r="Z18" s="456">
        <v>-0.03</v>
      </c>
      <c r="AA18" s="456">
        <v>1.78</v>
      </c>
      <c r="AB18" s="456">
        <v>1.08</v>
      </c>
      <c r="AC18" s="456">
        <v>1.63</v>
      </c>
      <c r="AD18" s="456">
        <v>-2.89</v>
      </c>
      <c r="AE18" s="456">
        <v>0.93</v>
      </c>
      <c r="AF18" s="456">
        <v>0</v>
      </c>
      <c r="AG18" s="456">
        <v>-0.18</v>
      </c>
      <c r="AH18" s="456">
        <v>1.1200000000000001</v>
      </c>
      <c r="AI18" s="456">
        <v>0</v>
      </c>
      <c r="AJ18" s="456">
        <v>0.69</v>
      </c>
    </row>
    <row r="19" spans="1:36" s="14" customFormat="1" ht="11.45" customHeight="1">
      <c r="A19" s="699" t="s">
        <v>738</v>
      </c>
      <c r="B19" s="472">
        <v>-3.76</v>
      </c>
      <c r="C19" s="472">
        <v>0</v>
      </c>
      <c r="D19" s="472">
        <v>-0.01</v>
      </c>
      <c r="E19" s="472">
        <v>-2.61</v>
      </c>
      <c r="F19" s="472">
        <v>1.05</v>
      </c>
      <c r="G19" s="472">
        <v>0.37</v>
      </c>
      <c r="H19" s="472">
        <v>0.39</v>
      </c>
      <c r="I19" s="472">
        <v>-0.11</v>
      </c>
      <c r="J19" s="472">
        <v>-0.22</v>
      </c>
      <c r="K19" s="472">
        <v>-0.78</v>
      </c>
      <c r="L19" s="472">
        <v>0</v>
      </c>
      <c r="M19" s="472">
        <v>2.91</v>
      </c>
      <c r="N19" s="472">
        <v>0.15</v>
      </c>
      <c r="O19" s="472">
        <v>1.24</v>
      </c>
      <c r="P19" s="472">
        <v>2.75</v>
      </c>
      <c r="Q19" s="472">
        <v>1.68</v>
      </c>
      <c r="R19" s="472">
        <v>-2.09</v>
      </c>
      <c r="S19" s="699" t="s">
        <v>738</v>
      </c>
      <c r="T19" s="472">
        <v>-2.0499999999999998</v>
      </c>
      <c r="U19" s="472">
        <v>0</v>
      </c>
      <c r="V19" s="472">
        <v>-3.88</v>
      </c>
      <c r="W19" s="472">
        <v>-0.38</v>
      </c>
      <c r="X19" s="472">
        <v>0</v>
      </c>
      <c r="Y19" s="472">
        <v>-2.76</v>
      </c>
      <c r="Z19" s="472">
        <v>0</v>
      </c>
      <c r="AA19" s="472">
        <v>0.77</v>
      </c>
      <c r="AB19" s="472">
        <v>0.27</v>
      </c>
      <c r="AC19" s="472">
        <v>0.73</v>
      </c>
      <c r="AD19" s="472">
        <v>-1.83</v>
      </c>
      <c r="AE19" s="472">
        <v>1.18</v>
      </c>
      <c r="AF19" s="472">
        <v>0</v>
      </c>
      <c r="AG19" s="472">
        <v>0.81</v>
      </c>
      <c r="AH19" s="472">
        <v>1.22</v>
      </c>
      <c r="AI19" s="472">
        <v>0</v>
      </c>
      <c r="AJ19" s="472">
        <v>-0.68</v>
      </c>
    </row>
    <row r="20" spans="1:36" s="14" customFormat="1" ht="11.45" customHeight="1">
      <c r="A20" s="696" t="s">
        <v>746</v>
      </c>
      <c r="B20" s="456">
        <v>2.89</v>
      </c>
      <c r="C20" s="456">
        <v>-0.06</v>
      </c>
      <c r="D20" s="456">
        <v>0</v>
      </c>
      <c r="E20" s="456">
        <v>3.73</v>
      </c>
      <c r="F20" s="456">
        <v>2.4</v>
      </c>
      <c r="G20" s="456">
        <v>0.35</v>
      </c>
      <c r="H20" s="456">
        <v>0.35</v>
      </c>
      <c r="I20" s="456">
        <v>-0.16</v>
      </c>
      <c r="J20" s="456">
        <v>-1.83</v>
      </c>
      <c r="K20" s="456">
        <v>3.1</v>
      </c>
      <c r="L20" s="456">
        <v>0</v>
      </c>
      <c r="M20" s="456">
        <v>1.1399999999999999</v>
      </c>
      <c r="N20" s="456">
        <v>0.26</v>
      </c>
      <c r="O20" s="456">
        <v>1.24</v>
      </c>
      <c r="P20" s="456">
        <v>1.68</v>
      </c>
      <c r="Q20" s="456">
        <v>-1.61</v>
      </c>
      <c r="R20" s="456">
        <v>2.67</v>
      </c>
      <c r="S20" s="696" t="s">
        <v>746</v>
      </c>
      <c r="T20" s="456">
        <v>3.42</v>
      </c>
      <c r="U20" s="456">
        <v>0</v>
      </c>
      <c r="V20" s="456">
        <v>0.12</v>
      </c>
      <c r="W20" s="456">
        <v>0.8</v>
      </c>
      <c r="X20" s="456">
        <v>0.02</v>
      </c>
      <c r="Y20" s="456">
        <v>5.31</v>
      </c>
      <c r="Z20" s="456">
        <v>0.05</v>
      </c>
      <c r="AA20" s="456">
        <v>0.01</v>
      </c>
      <c r="AB20" s="456">
        <v>1.43</v>
      </c>
      <c r="AC20" s="456">
        <v>-0.56999999999999995</v>
      </c>
      <c r="AD20" s="456">
        <v>1.98</v>
      </c>
      <c r="AE20" s="456">
        <v>-1.01</v>
      </c>
      <c r="AF20" s="456">
        <v>0</v>
      </c>
      <c r="AG20" s="456">
        <v>0.46</v>
      </c>
      <c r="AH20" s="456">
        <v>4.05</v>
      </c>
      <c r="AI20" s="456">
        <v>0</v>
      </c>
      <c r="AJ20" s="456">
        <v>3.22</v>
      </c>
    </row>
    <row r="21" spans="1:36" s="14" customFormat="1" ht="11.45" customHeight="1">
      <c r="A21" s="699" t="s">
        <v>747</v>
      </c>
      <c r="B21" s="472">
        <v>-0.81</v>
      </c>
      <c r="C21" s="472">
        <v>-0.24</v>
      </c>
      <c r="D21" s="472">
        <v>0</v>
      </c>
      <c r="E21" s="472">
        <v>-0.15</v>
      </c>
      <c r="F21" s="472">
        <v>0.25</v>
      </c>
      <c r="G21" s="472">
        <v>-0.74</v>
      </c>
      <c r="H21" s="472">
        <v>-0.79</v>
      </c>
      <c r="I21" s="472">
        <v>-0.08</v>
      </c>
      <c r="J21" s="472">
        <v>0.39</v>
      </c>
      <c r="K21" s="472">
        <v>0.15</v>
      </c>
      <c r="L21" s="472">
        <v>0</v>
      </c>
      <c r="M21" s="472">
        <v>-1.4</v>
      </c>
      <c r="N21" s="472">
        <v>-7.0000000000000007E-2</v>
      </c>
      <c r="O21" s="472">
        <v>0.54</v>
      </c>
      <c r="P21" s="472">
        <v>-7.0000000000000007E-2</v>
      </c>
      <c r="Q21" s="472">
        <v>-0.21</v>
      </c>
      <c r="R21" s="472">
        <v>-0.08</v>
      </c>
      <c r="S21" s="699" t="s">
        <v>747</v>
      </c>
      <c r="T21" s="472">
        <v>-1.6</v>
      </c>
      <c r="U21" s="472">
        <v>0</v>
      </c>
      <c r="V21" s="472">
        <v>-0.06</v>
      </c>
      <c r="W21" s="472">
        <v>0.3</v>
      </c>
      <c r="X21" s="472">
        <v>0</v>
      </c>
      <c r="Y21" s="472">
        <v>-0.38</v>
      </c>
      <c r="Z21" s="472">
        <v>0</v>
      </c>
      <c r="AA21" s="472">
        <v>-0.6</v>
      </c>
      <c r="AB21" s="472">
        <v>0</v>
      </c>
      <c r="AC21" s="472">
        <v>-2.94</v>
      </c>
      <c r="AD21" s="472">
        <v>-0.22</v>
      </c>
      <c r="AE21" s="472">
        <v>-0.55000000000000004</v>
      </c>
      <c r="AF21" s="472">
        <v>0</v>
      </c>
      <c r="AG21" s="472">
        <v>-0.17</v>
      </c>
      <c r="AH21" s="472">
        <v>-0.54</v>
      </c>
      <c r="AI21" s="472">
        <v>0.01</v>
      </c>
      <c r="AJ21" s="472">
        <v>1.03</v>
      </c>
    </row>
    <row r="22" spans="1:36" s="354" customFormat="1" ht="11.45" customHeight="1">
      <c r="A22" s="696" t="s">
        <v>739</v>
      </c>
      <c r="B22" s="456">
        <v>-1.28</v>
      </c>
      <c r="C22" s="456">
        <v>-0.12</v>
      </c>
      <c r="D22" s="456">
        <v>0</v>
      </c>
      <c r="E22" s="456">
        <v>-1.33</v>
      </c>
      <c r="F22" s="456">
        <v>-0.71</v>
      </c>
      <c r="G22" s="456">
        <v>-1.55</v>
      </c>
      <c r="H22" s="456">
        <v>-1.49</v>
      </c>
      <c r="I22" s="456">
        <v>-0.01</v>
      </c>
      <c r="J22" s="456">
        <v>2.57</v>
      </c>
      <c r="K22" s="456">
        <v>-1.6</v>
      </c>
      <c r="L22" s="456">
        <v>0</v>
      </c>
      <c r="M22" s="456">
        <v>-0.24</v>
      </c>
      <c r="N22" s="456">
        <v>-0.31</v>
      </c>
      <c r="O22" s="456">
        <v>-0.4</v>
      </c>
      <c r="P22" s="456">
        <v>0.46</v>
      </c>
      <c r="Q22" s="456">
        <v>-0.42</v>
      </c>
      <c r="R22" s="456">
        <v>-1.22</v>
      </c>
      <c r="S22" s="696" t="s">
        <v>739</v>
      </c>
      <c r="T22" s="456">
        <v>-0.71</v>
      </c>
      <c r="U22" s="456">
        <v>0</v>
      </c>
      <c r="V22" s="456">
        <v>-0.69</v>
      </c>
      <c r="W22" s="456">
        <v>-1.31</v>
      </c>
      <c r="X22" s="456">
        <v>0.01</v>
      </c>
      <c r="Y22" s="456">
        <v>7.0000000000000007E-2</v>
      </c>
      <c r="Z22" s="456">
        <v>0</v>
      </c>
      <c r="AA22" s="456">
        <v>-1.72</v>
      </c>
      <c r="AB22" s="456">
        <v>-0.62</v>
      </c>
      <c r="AC22" s="456">
        <v>-0.06</v>
      </c>
      <c r="AD22" s="456">
        <v>2.4900000000000002</v>
      </c>
      <c r="AE22" s="456">
        <v>0.45</v>
      </c>
      <c r="AF22" s="456">
        <v>0</v>
      </c>
      <c r="AG22" s="456">
        <v>-0.47</v>
      </c>
      <c r="AH22" s="456">
        <v>-1.04</v>
      </c>
      <c r="AI22" s="456">
        <v>-0.01</v>
      </c>
      <c r="AJ22" s="456">
        <v>-1.65</v>
      </c>
    </row>
    <row r="23" spans="1:36" s="354" customFormat="1" ht="11.45" customHeight="1">
      <c r="A23" s="699" t="s">
        <v>748</v>
      </c>
      <c r="B23" s="472">
        <v>-0.55000000000000004</v>
      </c>
      <c r="C23" s="472">
        <v>-0.24</v>
      </c>
      <c r="D23" s="472">
        <v>0</v>
      </c>
      <c r="E23" s="472">
        <v>-0.83</v>
      </c>
      <c r="F23" s="472">
        <v>7.0000000000000007E-2</v>
      </c>
      <c r="G23" s="472">
        <v>-0.28999999999999998</v>
      </c>
      <c r="H23" s="472">
        <v>-0.28999999999999998</v>
      </c>
      <c r="I23" s="472">
        <v>0.08</v>
      </c>
      <c r="J23" s="472">
        <v>-0.91</v>
      </c>
      <c r="K23" s="472">
        <v>0.09</v>
      </c>
      <c r="L23" s="472">
        <v>0</v>
      </c>
      <c r="M23" s="472">
        <v>-0.71</v>
      </c>
      <c r="N23" s="472">
        <v>-7.0000000000000007E-2</v>
      </c>
      <c r="O23" s="472">
        <v>-1.28</v>
      </c>
      <c r="P23" s="472">
        <v>-0.66</v>
      </c>
      <c r="Q23" s="472">
        <v>-0.48</v>
      </c>
      <c r="R23" s="472">
        <v>-1.98</v>
      </c>
      <c r="S23" s="699" t="s">
        <v>748</v>
      </c>
      <c r="T23" s="472">
        <v>-0.39</v>
      </c>
      <c r="U23" s="472">
        <v>0</v>
      </c>
      <c r="V23" s="472">
        <v>-0.57999999999999996</v>
      </c>
      <c r="W23" s="472">
        <v>1.31</v>
      </c>
      <c r="X23" s="472">
        <v>-0.01</v>
      </c>
      <c r="Y23" s="472">
        <v>1.82</v>
      </c>
      <c r="Z23" s="472">
        <v>0</v>
      </c>
      <c r="AA23" s="472">
        <v>-2.25</v>
      </c>
      <c r="AB23" s="472">
        <v>-0.43</v>
      </c>
      <c r="AC23" s="472">
        <v>-2.25</v>
      </c>
      <c r="AD23" s="472">
        <v>0.01</v>
      </c>
      <c r="AE23" s="472">
        <v>-2.38</v>
      </c>
      <c r="AF23" s="472">
        <v>0</v>
      </c>
      <c r="AG23" s="472">
        <v>-0.43</v>
      </c>
      <c r="AH23" s="472">
        <v>-0.6</v>
      </c>
      <c r="AI23" s="472">
        <v>0</v>
      </c>
      <c r="AJ23" s="472">
        <v>-0.73</v>
      </c>
    </row>
    <row r="24" spans="1:36" s="354" customFormat="1" ht="11.45" customHeight="1">
      <c r="A24" s="696" t="s">
        <v>749</v>
      </c>
      <c r="B24" s="456">
        <v>-1.98</v>
      </c>
      <c r="C24" s="456">
        <v>-0.06</v>
      </c>
      <c r="D24" s="456">
        <v>0</v>
      </c>
      <c r="E24" s="456">
        <v>-0.47</v>
      </c>
      <c r="F24" s="456">
        <v>-2.4700000000000002</v>
      </c>
      <c r="G24" s="456">
        <v>-0.5</v>
      </c>
      <c r="H24" s="456">
        <v>-0.49</v>
      </c>
      <c r="I24" s="456">
        <v>-7.0000000000000007E-2</v>
      </c>
      <c r="J24" s="456">
        <v>-0.04</v>
      </c>
      <c r="K24" s="456">
        <v>-1.2</v>
      </c>
      <c r="L24" s="456">
        <v>0</v>
      </c>
      <c r="M24" s="456">
        <v>1.87</v>
      </c>
      <c r="N24" s="456">
        <v>0.03</v>
      </c>
      <c r="O24" s="456">
        <v>-1.45</v>
      </c>
      <c r="P24" s="456">
        <v>-0.72</v>
      </c>
      <c r="Q24" s="456">
        <v>-0.13</v>
      </c>
      <c r="R24" s="456">
        <v>-2.37</v>
      </c>
      <c r="S24" s="696" t="s">
        <v>749</v>
      </c>
      <c r="T24" s="456">
        <v>-1.08</v>
      </c>
      <c r="U24" s="456">
        <v>0</v>
      </c>
      <c r="V24" s="456">
        <v>-6.05</v>
      </c>
      <c r="W24" s="456">
        <v>-0.44</v>
      </c>
      <c r="X24" s="456">
        <v>0.01</v>
      </c>
      <c r="Y24" s="456">
        <v>-0.65</v>
      </c>
      <c r="Z24" s="456">
        <v>0</v>
      </c>
      <c r="AA24" s="456">
        <v>-2.2400000000000002</v>
      </c>
      <c r="AB24" s="456">
        <v>-1.42</v>
      </c>
      <c r="AC24" s="456">
        <v>-0.41</v>
      </c>
      <c r="AD24" s="456">
        <v>-0.48</v>
      </c>
      <c r="AE24" s="456">
        <v>1.19</v>
      </c>
      <c r="AF24" s="456">
        <v>0</v>
      </c>
      <c r="AG24" s="456">
        <v>-0.28999999999999998</v>
      </c>
      <c r="AH24" s="456">
        <v>0.41</v>
      </c>
      <c r="AI24" s="456">
        <v>0</v>
      </c>
      <c r="AJ24" s="456">
        <v>-2.4</v>
      </c>
    </row>
    <row r="25" spans="1:36" s="354" customFormat="1" ht="11.45" customHeight="1">
      <c r="A25" s="699" t="s">
        <v>740</v>
      </c>
      <c r="B25" s="472">
        <v>1.49</v>
      </c>
      <c r="C25" s="472">
        <v>0</v>
      </c>
      <c r="D25" s="472">
        <v>0</v>
      </c>
      <c r="E25" s="472">
        <v>3.28</v>
      </c>
      <c r="F25" s="472">
        <v>0.35</v>
      </c>
      <c r="G25" s="472">
        <v>2.1800000000000002</v>
      </c>
      <c r="H25" s="472">
        <v>2.15</v>
      </c>
      <c r="I25" s="472">
        <v>0.46</v>
      </c>
      <c r="J25" s="472">
        <v>1.3</v>
      </c>
      <c r="K25" s="472">
        <v>1.93</v>
      </c>
      <c r="L25" s="472">
        <v>0</v>
      </c>
      <c r="M25" s="472">
        <v>1.58</v>
      </c>
      <c r="N25" s="472">
        <v>0.3</v>
      </c>
      <c r="O25" s="472">
        <v>1.55</v>
      </c>
      <c r="P25" s="472">
        <v>1.29</v>
      </c>
      <c r="Q25" s="472">
        <v>0.75</v>
      </c>
      <c r="R25" s="472">
        <v>3.19</v>
      </c>
      <c r="S25" s="699" t="s">
        <v>740</v>
      </c>
      <c r="T25" s="472">
        <v>2.57</v>
      </c>
      <c r="U25" s="472">
        <v>0</v>
      </c>
      <c r="V25" s="472">
        <v>-7.59</v>
      </c>
      <c r="W25" s="472">
        <v>1.95</v>
      </c>
      <c r="X25" s="472">
        <v>-0.01</v>
      </c>
      <c r="Y25" s="472">
        <v>2.62</v>
      </c>
      <c r="Z25" s="472">
        <v>0</v>
      </c>
      <c r="AA25" s="472">
        <v>2.93</v>
      </c>
      <c r="AB25" s="472">
        <v>2.1</v>
      </c>
      <c r="AC25" s="472">
        <v>2.86</v>
      </c>
      <c r="AD25" s="472">
        <v>-0.11</v>
      </c>
      <c r="AE25" s="472">
        <v>3.23</v>
      </c>
      <c r="AF25" s="472">
        <v>0</v>
      </c>
      <c r="AG25" s="472">
        <v>0.86</v>
      </c>
      <c r="AH25" s="472">
        <v>3.58</v>
      </c>
      <c r="AI25" s="472">
        <v>0</v>
      </c>
      <c r="AJ25" s="472">
        <v>0.53</v>
      </c>
    </row>
    <row r="26" spans="1:36" s="354" customFormat="1" ht="11.45" customHeight="1">
      <c r="A26" s="707" t="s">
        <v>2017</v>
      </c>
      <c r="B26" s="808">
        <v>-2.21</v>
      </c>
      <c r="C26" s="808">
        <v>-0.47</v>
      </c>
      <c r="D26" s="808">
        <v>-0.16</v>
      </c>
      <c r="E26" s="808">
        <v>-4.1500000000000004</v>
      </c>
      <c r="F26" s="808">
        <v>-2.89</v>
      </c>
      <c r="G26" s="808">
        <v>-0.97</v>
      </c>
      <c r="H26" s="808">
        <v>-1.1299999999999999</v>
      </c>
      <c r="I26" s="808">
        <v>0.81</v>
      </c>
      <c r="J26" s="808">
        <v>-8.69</v>
      </c>
      <c r="K26" s="808">
        <v>-1.1000000000000001</v>
      </c>
      <c r="L26" s="808">
        <v>0</v>
      </c>
      <c r="M26" s="808">
        <v>0.3</v>
      </c>
      <c r="N26" s="808">
        <v>-1.4</v>
      </c>
      <c r="O26" s="808">
        <v>-3.45</v>
      </c>
      <c r="P26" s="808">
        <v>9.74</v>
      </c>
      <c r="Q26" s="808">
        <v>-0.86</v>
      </c>
      <c r="R26" s="808">
        <v>-4.4400000000000004</v>
      </c>
      <c r="S26" s="707" t="s">
        <v>2017</v>
      </c>
      <c r="T26" s="808">
        <v>-11.79</v>
      </c>
      <c r="U26" s="808">
        <v>0</v>
      </c>
      <c r="V26" s="808">
        <v>-2.67</v>
      </c>
      <c r="W26" s="808">
        <v>2.9</v>
      </c>
      <c r="X26" s="808">
        <v>0.01</v>
      </c>
      <c r="Y26" s="808">
        <v>-9.75</v>
      </c>
      <c r="Z26" s="808">
        <v>-0.02</v>
      </c>
      <c r="AA26" s="808">
        <v>-3.35</v>
      </c>
      <c r="AB26" s="808">
        <v>-2.94</v>
      </c>
      <c r="AC26" s="808">
        <v>-0.49</v>
      </c>
      <c r="AD26" s="808">
        <v>-5.18</v>
      </c>
      <c r="AE26" s="808">
        <v>2.61</v>
      </c>
      <c r="AF26" s="808">
        <v>0.16</v>
      </c>
      <c r="AG26" s="808">
        <v>-0.76</v>
      </c>
      <c r="AH26" s="808">
        <v>-0.63</v>
      </c>
      <c r="AI26" s="808">
        <v>0</v>
      </c>
      <c r="AJ26" s="808">
        <v>-3.12</v>
      </c>
    </row>
    <row r="27" spans="1:36" s="354" customFormat="1" ht="11.45" customHeight="1">
      <c r="A27" s="699" t="s">
        <v>742</v>
      </c>
      <c r="B27" s="472">
        <v>-2.12</v>
      </c>
      <c r="C27" s="472">
        <v>0</v>
      </c>
      <c r="D27" s="472">
        <v>0</v>
      </c>
      <c r="E27" s="472">
        <v>-0.43</v>
      </c>
      <c r="F27" s="472">
        <v>-0.14000000000000001</v>
      </c>
      <c r="G27" s="472">
        <v>-1.94</v>
      </c>
      <c r="H27" s="472">
        <v>-1.89</v>
      </c>
      <c r="I27" s="472">
        <v>-0.14000000000000001</v>
      </c>
      <c r="J27" s="472">
        <v>0.13</v>
      </c>
      <c r="K27" s="472">
        <v>0.84</v>
      </c>
      <c r="L27" s="472">
        <v>0</v>
      </c>
      <c r="M27" s="472">
        <v>-0.65</v>
      </c>
      <c r="N27" s="472">
        <v>-0.36</v>
      </c>
      <c r="O27" s="472">
        <v>0.1</v>
      </c>
      <c r="P27" s="472">
        <v>0.43</v>
      </c>
      <c r="Q27" s="472">
        <v>-1.04</v>
      </c>
      <c r="R27" s="472">
        <v>-1.58</v>
      </c>
      <c r="S27" s="699" t="s">
        <v>742</v>
      </c>
      <c r="T27" s="472">
        <v>-2.5</v>
      </c>
      <c r="U27" s="472">
        <v>0</v>
      </c>
      <c r="V27" s="472">
        <v>1.56</v>
      </c>
      <c r="W27" s="472">
        <v>0.78</v>
      </c>
      <c r="X27" s="472">
        <v>0.01</v>
      </c>
      <c r="Y27" s="472">
        <v>-0.38</v>
      </c>
      <c r="Z27" s="472">
        <v>-0.01</v>
      </c>
      <c r="AA27" s="472">
        <v>-2.04</v>
      </c>
      <c r="AB27" s="472">
        <v>-1.28</v>
      </c>
      <c r="AC27" s="472">
        <v>-2.93</v>
      </c>
      <c r="AD27" s="472">
        <v>0.17</v>
      </c>
      <c r="AE27" s="472">
        <v>-1.43</v>
      </c>
      <c r="AF27" s="472">
        <v>0</v>
      </c>
      <c r="AG27" s="472">
        <v>-0.94</v>
      </c>
      <c r="AH27" s="472">
        <v>-0.31</v>
      </c>
      <c r="AI27" s="472">
        <v>0</v>
      </c>
      <c r="AJ27" s="472">
        <v>-4.29</v>
      </c>
    </row>
    <row r="28" spans="1:36" s="354" customFormat="1" ht="11.45" customHeight="1">
      <c r="A28" s="696" t="s">
        <v>743</v>
      </c>
      <c r="B28" s="456">
        <v>-2.0099999999999998</v>
      </c>
      <c r="C28" s="456">
        <v>0</v>
      </c>
      <c r="D28" s="456">
        <v>-0.01</v>
      </c>
      <c r="E28" s="456">
        <v>-1.19</v>
      </c>
      <c r="F28" s="456">
        <v>-2.85</v>
      </c>
      <c r="G28" s="456">
        <v>-0.54</v>
      </c>
      <c r="H28" s="456">
        <v>-0.69</v>
      </c>
      <c r="I28" s="456">
        <v>-0.26</v>
      </c>
      <c r="J28" s="456">
        <v>-4.13</v>
      </c>
      <c r="K28" s="456">
        <v>-1.75</v>
      </c>
      <c r="L28" s="456">
        <v>0</v>
      </c>
      <c r="M28" s="456">
        <v>2.34</v>
      </c>
      <c r="N28" s="456">
        <v>0.23</v>
      </c>
      <c r="O28" s="456">
        <v>-2.2799999999999998</v>
      </c>
      <c r="P28" s="456">
        <v>-0.79</v>
      </c>
      <c r="Q28" s="456">
        <v>-0.28000000000000003</v>
      </c>
      <c r="R28" s="456">
        <v>-4.1500000000000004</v>
      </c>
      <c r="S28" s="696" t="s">
        <v>743</v>
      </c>
      <c r="T28" s="456">
        <v>-3.26</v>
      </c>
      <c r="U28" s="456">
        <v>0</v>
      </c>
      <c r="V28" s="456">
        <v>0.59</v>
      </c>
      <c r="W28" s="456">
        <v>-2.89</v>
      </c>
      <c r="X28" s="456">
        <v>0</v>
      </c>
      <c r="Y28" s="456">
        <v>-4.8</v>
      </c>
      <c r="Z28" s="456">
        <v>0.01</v>
      </c>
      <c r="AA28" s="456">
        <v>-2.91</v>
      </c>
      <c r="AB28" s="456">
        <v>-1.33</v>
      </c>
      <c r="AC28" s="456">
        <v>-1.64</v>
      </c>
      <c r="AD28" s="456">
        <v>-2.38</v>
      </c>
      <c r="AE28" s="456">
        <v>0.88</v>
      </c>
      <c r="AF28" s="456">
        <v>0</v>
      </c>
      <c r="AG28" s="456">
        <v>-0.53</v>
      </c>
      <c r="AH28" s="456">
        <v>0.46</v>
      </c>
      <c r="AI28" s="456">
        <v>0</v>
      </c>
      <c r="AJ28" s="456">
        <v>0.49</v>
      </c>
    </row>
    <row r="29" spans="1:36" s="354" customFormat="1" ht="11.45" customHeight="1">
      <c r="A29" s="699" t="s">
        <v>737</v>
      </c>
      <c r="B29" s="472">
        <v>0.47</v>
      </c>
      <c r="C29" s="472">
        <v>0</v>
      </c>
      <c r="D29" s="472">
        <v>0.01</v>
      </c>
      <c r="E29" s="472">
        <v>0.46</v>
      </c>
      <c r="F29" s="472">
        <v>0.18</v>
      </c>
      <c r="G29" s="472">
        <v>-1.38</v>
      </c>
      <c r="H29" s="472">
        <v>-1.25</v>
      </c>
      <c r="I29" s="472">
        <v>0.05</v>
      </c>
      <c r="J29" s="472">
        <v>1.87</v>
      </c>
      <c r="K29" s="472">
        <v>0.46</v>
      </c>
      <c r="L29" s="472">
        <v>0</v>
      </c>
      <c r="M29" s="472">
        <v>-1.68</v>
      </c>
      <c r="N29" s="472">
        <v>-0.15</v>
      </c>
      <c r="O29" s="472">
        <v>0.91</v>
      </c>
      <c r="P29" s="472">
        <v>-0.75</v>
      </c>
      <c r="Q29" s="472">
        <v>-0.55000000000000004</v>
      </c>
      <c r="R29" s="472">
        <v>-0.65</v>
      </c>
      <c r="S29" s="699" t="s">
        <v>737</v>
      </c>
      <c r="T29" s="782">
        <v>-0.34</v>
      </c>
      <c r="U29" s="782">
        <v>0</v>
      </c>
      <c r="V29" s="782">
        <v>1.78</v>
      </c>
      <c r="W29" s="782">
        <v>0.87</v>
      </c>
      <c r="X29" s="782">
        <v>0</v>
      </c>
      <c r="Y29" s="782">
        <v>3.1</v>
      </c>
      <c r="Z29" s="782">
        <v>-0.02</v>
      </c>
      <c r="AA29" s="782">
        <v>1.48</v>
      </c>
      <c r="AB29" s="782">
        <v>0.51</v>
      </c>
      <c r="AC29" s="782">
        <v>-0.9</v>
      </c>
      <c r="AD29" s="782">
        <v>-0.89</v>
      </c>
      <c r="AE29" s="782">
        <v>-0.93</v>
      </c>
      <c r="AF29" s="782">
        <v>18.05</v>
      </c>
      <c r="AG29" s="782">
        <v>-0.41</v>
      </c>
      <c r="AH29" s="782">
        <v>0.2</v>
      </c>
      <c r="AI29" s="782">
        <v>0.01</v>
      </c>
      <c r="AJ29" s="782">
        <v>0.64</v>
      </c>
    </row>
    <row r="30" spans="1:36" s="354" customFormat="1" ht="11.45" customHeight="1">
      <c r="A30" s="696" t="s">
        <v>744</v>
      </c>
      <c r="B30" s="456">
        <v>2.0299999999999998</v>
      </c>
      <c r="C30" s="456">
        <v>-0.28999999999999998</v>
      </c>
      <c r="D30" s="456">
        <v>0</v>
      </c>
      <c r="E30" s="456">
        <v>0.67</v>
      </c>
      <c r="F30" s="456">
        <v>0.28000000000000003</v>
      </c>
      <c r="G30" s="456">
        <v>1.86</v>
      </c>
      <c r="H30" s="456">
        <v>1.93</v>
      </c>
      <c r="I30" s="456">
        <v>0</v>
      </c>
      <c r="J30" s="456">
        <v>-0.63</v>
      </c>
      <c r="K30" s="456">
        <v>1.3</v>
      </c>
      <c r="L30" s="456">
        <v>0</v>
      </c>
      <c r="M30" s="456">
        <v>-0.84</v>
      </c>
      <c r="N30" s="456">
        <v>0.15</v>
      </c>
      <c r="O30" s="456">
        <v>0.23</v>
      </c>
      <c r="P30" s="456">
        <v>0.2</v>
      </c>
      <c r="Q30" s="456">
        <v>0.78</v>
      </c>
      <c r="R30" s="456">
        <v>1.46</v>
      </c>
      <c r="S30" s="696" t="s">
        <v>744</v>
      </c>
      <c r="T30" s="785">
        <v>-1.1399999999999999</v>
      </c>
      <c r="U30" s="785">
        <v>0</v>
      </c>
      <c r="V30" s="785">
        <v>1.01</v>
      </c>
      <c r="W30" s="785">
        <v>2.2799999999999998</v>
      </c>
      <c r="X30" s="785">
        <v>0</v>
      </c>
      <c r="Y30" s="785">
        <v>1.47</v>
      </c>
      <c r="Z30" s="785">
        <v>0.02</v>
      </c>
      <c r="AA30" s="785">
        <v>3.31</v>
      </c>
      <c r="AB30" s="785">
        <v>1.43</v>
      </c>
      <c r="AC30" s="785">
        <v>1.86</v>
      </c>
      <c r="AD30" s="785">
        <v>0.28000000000000003</v>
      </c>
      <c r="AE30" s="785">
        <v>0.15</v>
      </c>
      <c r="AF30" s="785">
        <v>0</v>
      </c>
      <c r="AG30" s="785">
        <v>0.91</v>
      </c>
      <c r="AH30" s="785">
        <v>1.29</v>
      </c>
      <c r="AI30" s="785">
        <v>0</v>
      </c>
      <c r="AJ30" s="785">
        <v>5</v>
      </c>
    </row>
    <row r="31" spans="1:36" s="354" customFormat="1" ht="11.45" customHeight="1">
      <c r="A31" s="699" t="s">
        <v>745</v>
      </c>
      <c r="B31" s="472">
        <v>-1.93</v>
      </c>
      <c r="C31" s="472">
        <v>-0.18</v>
      </c>
      <c r="D31" s="472">
        <v>-0.01</v>
      </c>
      <c r="E31" s="472">
        <v>-0.91</v>
      </c>
      <c r="F31" s="472">
        <v>0.33</v>
      </c>
      <c r="G31" s="472">
        <v>-1.28</v>
      </c>
      <c r="H31" s="472">
        <v>-1.26</v>
      </c>
      <c r="I31" s="472">
        <v>0.17</v>
      </c>
      <c r="J31" s="472">
        <v>-0.77</v>
      </c>
      <c r="K31" s="472">
        <v>-0.7</v>
      </c>
      <c r="L31" s="472">
        <v>0</v>
      </c>
      <c r="M31" s="472">
        <v>-0.61</v>
      </c>
      <c r="N31" s="472">
        <v>-0.08</v>
      </c>
      <c r="O31" s="472">
        <v>0.12</v>
      </c>
      <c r="P31" s="472">
        <v>1.19</v>
      </c>
      <c r="Q31" s="472">
        <v>-0.14000000000000001</v>
      </c>
      <c r="R31" s="472">
        <v>0.47</v>
      </c>
      <c r="S31" s="699" t="s">
        <v>745</v>
      </c>
      <c r="T31" s="782">
        <v>0.13</v>
      </c>
      <c r="U31" s="782">
        <v>0</v>
      </c>
      <c r="V31" s="782">
        <v>0</v>
      </c>
      <c r="W31" s="782">
        <v>-0.08</v>
      </c>
      <c r="X31" s="782">
        <v>0</v>
      </c>
      <c r="Y31" s="782">
        <v>-0.38</v>
      </c>
      <c r="Z31" s="782">
        <v>0.01</v>
      </c>
      <c r="AA31" s="782">
        <v>-1.81</v>
      </c>
      <c r="AB31" s="782">
        <v>-0.28000000000000003</v>
      </c>
      <c r="AC31" s="782">
        <v>0.83</v>
      </c>
      <c r="AD31" s="782">
        <v>0.35</v>
      </c>
      <c r="AE31" s="782">
        <v>-0.91</v>
      </c>
      <c r="AF31" s="782">
        <v>0</v>
      </c>
      <c r="AG31" s="782">
        <v>-0.27</v>
      </c>
      <c r="AH31" s="782">
        <v>-0.13</v>
      </c>
      <c r="AI31" s="782">
        <v>-0.01</v>
      </c>
      <c r="AJ31" s="782">
        <v>7.0000000000000007E-2</v>
      </c>
    </row>
    <row r="32" spans="1:36" s="354" customFormat="1" ht="11.45" customHeight="1">
      <c r="A32" s="696" t="s">
        <v>738</v>
      </c>
      <c r="B32" s="456">
        <v>3.32</v>
      </c>
      <c r="C32" s="456">
        <v>0</v>
      </c>
      <c r="D32" s="456">
        <v>0.01</v>
      </c>
      <c r="E32" s="456">
        <v>1.63</v>
      </c>
      <c r="F32" s="456">
        <v>0.77</v>
      </c>
      <c r="G32" s="456">
        <v>1.73</v>
      </c>
      <c r="H32" s="456">
        <v>1.73</v>
      </c>
      <c r="I32" s="456">
        <v>0.51</v>
      </c>
      <c r="J32" s="456">
        <v>0.26</v>
      </c>
      <c r="K32" s="456">
        <v>1.61</v>
      </c>
      <c r="L32" s="456">
        <v>0</v>
      </c>
      <c r="M32" s="456">
        <v>0.59</v>
      </c>
      <c r="N32" s="456">
        <v>0.3</v>
      </c>
      <c r="O32" s="456">
        <v>1.95</v>
      </c>
      <c r="P32" s="456">
        <v>2.37</v>
      </c>
      <c r="Q32" s="456">
        <v>0.52</v>
      </c>
      <c r="R32" s="456">
        <v>4.79</v>
      </c>
      <c r="S32" s="696" t="s">
        <v>738</v>
      </c>
      <c r="T32" s="785">
        <v>4.03</v>
      </c>
      <c r="U32" s="785">
        <v>0</v>
      </c>
      <c r="V32" s="785">
        <v>0.28000000000000003</v>
      </c>
      <c r="W32" s="785">
        <v>0.12</v>
      </c>
      <c r="X32" s="785">
        <v>-0.6</v>
      </c>
      <c r="Y32" s="785">
        <v>3.03</v>
      </c>
      <c r="Z32" s="785">
        <v>-0.03</v>
      </c>
      <c r="AA32" s="785">
        <v>2.14</v>
      </c>
      <c r="AB32" s="785">
        <v>1.27</v>
      </c>
      <c r="AC32" s="785">
        <v>2.19</v>
      </c>
      <c r="AD32" s="785">
        <v>-0.3</v>
      </c>
      <c r="AE32" s="785">
        <v>3</v>
      </c>
      <c r="AF32" s="785">
        <v>0</v>
      </c>
      <c r="AG32" s="785">
        <v>0.72</v>
      </c>
      <c r="AH32" s="785">
        <v>1.27</v>
      </c>
      <c r="AI32" s="785">
        <v>0</v>
      </c>
      <c r="AJ32" s="785">
        <v>1.56</v>
      </c>
    </row>
    <row r="33" spans="1:36" s="354" customFormat="1" ht="11.45" customHeight="1">
      <c r="A33" s="699" t="s">
        <v>746</v>
      </c>
      <c r="B33" s="472">
        <v>-3.9</v>
      </c>
      <c r="C33" s="472">
        <v>0</v>
      </c>
      <c r="D33" s="472">
        <v>0</v>
      </c>
      <c r="E33" s="472">
        <v>-1.08</v>
      </c>
      <c r="F33" s="472">
        <v>1.29</v>
      </c>
      <c r="G33" s="472">
        <v>-1.52</v>
      </c>
      <c r="H33" s="472">
        <v>-1.49</v>
      </c>
      <c r="I33" s="472">
        <v>0.27</v>
      </c>
      <c r="J33" s="472">
        <v>-0.32</v>
      </c>
      <c r="K33" s="472">
        <v>1.7</v>
      </c>
      <c r="L33" s="472">
        <v>0</v>
      </c>
      <c r="M33" s="472">
        <v>-0.08</v>
      </c>
      <c r="N33" s="472">
        <v>-0.28000000000000003</v>
      </c>
      <c r="O33" s="472">
        <v>0.1</v>
      </c>
      <c r="P33" s="472">
        <v>0.82</v>
      </c>
      <c r="Q33" s="472">
        <v>-0.36</v>
      </c>
      <c r="R33" s="472">
        <v>-3.56</v>
      </c>
      <c r="S33" s="699" t="s">
        <v>746</v>
      </c>
      <c r="T33" s="782">
        <v>-3.99</v>
      </c>
      <c r="U33" s="782">
        <v>0</v>
      </c>
      <c r="V33" s="782">
        <v>0.24</v>
      </c>
      <c r="W33" s="782">
        <v>-0.31</v>
      </c>
      <c r="X33" s="782">
        <v>0.01</v>
      </c>
      <c r="Y33" s="782">
        <v>-0.86</v>
      </c>
      <c r="Z33" s="782">
        <v>-0.01</v>
      </c>
      <c r="AA33" s="782">
        <v>-2.65</v>
      </c>
      <c r="AB33" s="782">
        <v>-0.95</v>
      </c>
      <c r="AC33" s="782">
        <v>-3.07</v>
      </c>
      <c r="AD33" s="782">
        <v>0.12</v>
      </c>
      <c r="AE33" s="782">
        <v>-0.01</v>
      </c>
      <c r="AF33" s="782">
        <v>0</v>
      </c>
      <c r="AG33" s="782">
        <v>-0.5</v>
      </c>
      <c r="AH33" s="782">
        <v>-4.0999999999999996</v>
      </c>
      <c r="AI33" s="782">
        <v>0</v>
      </c>
      <c r="AJ33" s="782">
        <v>-0.14000000000000001</v>
      </c>
    </row>
    <row r="34" spans="1:36" s="354" customFormat="1" ht="11.45" customHeight="1">
      <c r="A34" s="696" t="s">
        <v>747</v>
      </c>
      <c r="B34" s="456">
        <v>-2.27</v>
      </c>
      <c r="C34" s="456">
        <v>-0.06</v>
      </c>
      <c r="D34" s="456">
        <v>0.09</v>
      </c>
      <c r="E34" s="456">
        <v>-1.36</v>
      </c>
      <c r="F34" s="456">
        <v>-1.7</v>
      </c>
      <c r="G34" s="456">
        <v>-0.27</v>
      </c>
      <c r="H34" s="456">
        <v>-0.28999999999999998</v>
      </c>
      <c r="I34" s="456">
        <v>-0.35</v>
      </c>
      <c r="J34" s="456">
        <v>-0.15</v>
      </c>
      <c r="K34" s="456">
        <v>-3.77</v>
      </c>
      <c r="L34" s="456">
        <v>0</v>
      </c>
      <c r="M34" s="456">
        <v>-0.56999999999999995</v>
      </c>
      <c r="N34" s="456">
        <v>-0.62</v>
      </c>
      <c r="O34" s="456">
        <v>-3.25</v>
      </c>
      <c r="P34" s="456">
        <v>2.02</v>
      </c>
      <c r="Q34" s="456">
        <v>-0.87</v>
      </c>
      <c r="R34" s="456">
        <v>-2.76</v>
      </c>
      <c r="S34" s="696" t="s">
        <v>747</v>
      </c>
      <c r="T34" s="785">
        <v>-2.2400000000000002</v>
      </c>
      <c r="U34" s="785">
        <v>0</v>
      </c>
      <c r="V34" s="785">
        <v>0.18</v>
      </c>
      <c r="W34" s="785">
        <v>-0.22</v>
      </c>
      <c r="X34" s="785">
        <v>0.59</v>
      </c>
      <c r="Y34" s="785">
        <v>-4.04</v>
      </c>
      <c r="Z34" s="785">
        <v>-0.03</v>
      </c>
      <c r="AA34" s="785">
        <v>-2.31</v>
      </c>
      <c r="AB34" s="785">
        <v>-2.4</v>
      </c>
      <c r="AC34" s="785">
        <v>-0.7</v>
      </c>
      <c r="AD34" s="785">
        <v>-0.32</v>
      </c>
      <c r="AE34" s="785">
        <v>0.19</v>
      </c>
      <c r="AF34" s="785">
        <v>0</v>
      </c>
      <c r="AG34" s="785">
        <v>-0.45</v>
      </c>
      <c r="AH34" s="785">
        <v>-1.63</v>
      </c>
      <c r="AI34" s="785">
        <v>0</v>
      </c>
      <c r="AJ34" s="785">
        <v>-1.6</v>
      </c>
    </row>
    <row r="35" spans="1:36" s="354" customFormat="1" ht="11.45" customHeight="1">
      <c r="A35" s="699" t="s">
        <v>739</v>
      </c>
      <c r="B35" s="472">
        <v>-9.3000000000000007</v>
      </c>
      <c r="C35" s="472">
        <v>0</v>
      </c>
      <c r="D35" s="472">
        <v>-0.37</v>
      </c>
      <c r="E35" s="472">
        <v>-7.41</v>
      </c>
      <c r="F35" s="472">
        <v>-0.96</v>
      </c>
      <c r="G35" s="472">
        <v>-1.86</v>
      </c>
      <c r="H35" s="472">
        <v>-1.92</v>
      </c>
      <c r="I35" s="472">
        <v>0.52</v>
      </c>
      <c r="J35" s="472">
        <v>-6.18</v>
      </c>
      <c r="K35" s="472">
        <v>-14</v>
      </c>
      <c r="L35" s="472">
        <v>0</v>
      </c>
      <c r="M35" s="472">
        <v>-1.47</v>
      </c>
      <c r="N35" s="472">
        <v>-2.16</v>
      </c>
      <c r="O35" s="472">
        <v>-3.82</v>
      </c>
      <c r="P35" s="472">
        <v>2.2799999999999998</v>
      </c>
      <c r="Q35" s="472">
        <v>-1.27</v>
      </c>
      <c r="R35" s="472">
        <v>-7.61</v>
      </c>
      <c r="S35" s="699" t="s">
        <v>739</v>
      </c>
      <c r="T35" s="782">
        <v>-15.61</v>
      </c>
      <c r="U35" s="782">
        <v>-0.03</v>
      </c>
      <c r="V35" s="782">
        <v>-3.28</v>
      </c>
      <c r="W35" s="782">
        <v>-0.08</v>
      </c>
      <c r="X35" s="782">
        <v>-0.01</v>
      </c>
      <c r="Y35" s="782">
        <v>-16.649999999999999</v>
      </c>
      <c r="Z35" s="782">
        <v>-0.09</v>
      </c>
      <c r="AA35" s="782">
        <v>-1.07</v>
      </c>
      <c r="AB35" s="782">
        <v>-3.54</v>
      </c>
      <c r="AC35" s="782">
        <v>-3.88</v>
      </c>
      <c r="AD35" s="782">
        <v>-2.75</v>
      </c>
      <c r="AE35" s="782">
        <v>-1.43</v>
      </c>
      <c r="AF35" s="782">
        <v>0</v>
      </c>
      <c r="AG35" s="782">
        <v>-1.1000000000000001</v>
      </c>
      <c r="AH35" s="782">
        <v>-3.59</v>
      </c>
      <c r="AI35" s="782">
        <v>0</v>
      </c>
      <c r="AJ35" s="782">
        <v>-8.75</v>
      </c>
    </row>
    <row r="36" spans="1:36" s="354" customFormat="1" ht="11.45" customHeight="1">
      <c r="A36" s="696" t="s">
        <v>748</v>
      </c>
      <c r="B36" s="456">
        <v>8.34</v>
      </c>
      <c r="C36" s="456">
        <v>0</v>
      </c>
      <c r="D36" s="456">
        <v>0.27</v>
      </c>
      <c r="E36" s="456">
        <v>2.56</v>
      </c>
      <c r="F36" s="456">
        <v>-0.28999999999999998</v>
      </c>
      <c r="G36" s="456">
        <v>0.4</v>
      </c>
      <c r="H36" s="456">
        <v>0.26</v>
      </c>
      <c r="I36" s="456">
        <v>0.02</v>
      </c>
      <c r="J36" s="456">
        <v>1.34</v>
      </c>
      <c r="K36" s="456">
        <v>10.220000000000001</v>
      </c>
      <c r="L36" s="456">
        <v>0</v>
      </c>
      <c r="M36" s="456">
        <v>3.92</v>
      </c>
      <c r="N36" s="456">
        <v>1.1000000000000001</v>
      </c>
      <c r="O36" s="456">
        <v>1.36</v>
      </c>
      <c r="P36" s="456">
        <v>7.0000000000000007E-2</v>
      </c>
      <c r="Q36" s="456">
        <v>1.49</v>
      </c>
      <c r="R36" s="456">
        <v>2.81</v>
      </c>
      <c r="S36" s="696" t="s">
        <v>748</v>
      </c>
      <c r="T36" s="785">
        <v>9.4700000000000006</v>
      </c>
      <c r="U36" s="785">
        <v>0.16</v>
      </c>
      <c r="V36" s="785">
        <v>-0.78</v>
      </c>
      <c r="W36" s="785">
        <v>1.29</v>
      </c>
      <c r="X36" s="785">
        <v>0.02</v>
      </c>
      <c r="Y36" s="785">
        <v>7.39</v>
      </c>
      <c r="Z36" s="785">
        <v>0.01</v>
      </c>
      <c r="AA36" s="785">
        <v>0.1</v>
      </c>
      <c r="AB36" s="785">
        <v>1.85</v>
      </c>
      <c r="AC36" s="785">
        <v>2.63</v>
      </c>
      <c r="AD36" s="785">
        <v>-2.0699999999999998</v>
      </c>
      <c r="AE36" s="785">
        <v>0.98</v>
      </c>
      <c r="AF36" s="785">
        <v>-14.91</v>
      </c>
      <c r="AG36" s="785">
        <v>0.6</v>
      </c>
      <c r="AH36" s="785">
        <v>2.19</v>
      </c>
      <c r="AI36" s="785">
        <v>0</v>
      </c>
      <c r="AJ36" s="785">
        <v>4.01</v>
      </c>
    </row>
    <row r="37" spans="1:36" s="354" customFormat="1" ht="11.45" customHeight="1">
      <c r="A37" s="699" t="s">
        <v>749</v>
      </c>
      <c r="B37" s="472">
        <v>3.28</v>
      </c>
      <c r="C37" s="472">
        <v>0</v>
      </c>
      <c r="D37" s="472">
        <v>-0.05</v>
      </c>
      <c r="E37" s="472">
        <v>2.39</v>
      </c>
      <c r="F37" s="472">
        <v>-0.52</v>
      </c>
      <c r="G37" s="472">
        <v>2.72</v>
      </c>
      <c r="H37" s="472">
        <v>2.6</v>
      </c>
      <c r="I37" s="472">
        <v>0</v>
      </c>
      <c r="J37" s="472">
        <v>-0.32</v>
      </c>
      <c r="K37" s="472">
        <v>2.2200000000000002</v>
      </c>
      <c r="L37" s="472">
        <v>0</v>
      </c>
      <c r="M37" s="472">
        <v>-0.7</v>
      </c>
      <c r="N37" s="472">
        <v>0.31</v>
      </c>
      <c r="O37" s="472">
        <v>-0.22</v>
      </c>
      <c r="P37" s="472">
        <v>7.0000000000000007E-2</v>
      </c>
      <c r="Q37" s="472">
        <v>0.45</v>
      </c>
      <c r="R37" s="472">
        <v>3.52</v>
      </c>
      <c r="S37" s="699" t="s">
        <v>749</v>
      </c>
      <c r="T37" s="782">
        <v>4.42</v>
      </c>
      <c r="U37" s="782">
        <v>0.13</v>
      </c>
      <c r="V37" s="782">
        <v>-0.73</v>
      </c>
      <c r="W37" s="782">
        <v>-0.18</v>
      </c>
      <c r="X37" s="782">
        <v>-0.51</v>
      </c>
      <c r="Y37" s="782">
        <v>3.94</v>
      </c>
      <c r="Z37" s="782">
        <v>-0.05</v>
      </c>
      <c r="AA37" s="782">
        <v>-0.28999999999999998</v>
      </c>
      <c r="AB37" s="782">
        <v>0.41</v>
      </c>
      <c r="AC37" s="782">
        <v>4.04</v>
      </c>
      <c r="AD37" s="782">
        <v>2.5499999999999998</v>
      </c>
      <c r="AE37" s="782">
        <v>1.1200000000000001</v>
      </c>
      <c r="AF37" s="782">
        <v>0</v>
      </c>
      <c r="AG37" s="782">
        <v>0.67</v>
      </c>
      <c r="AH37" s="782">
        <v>0.94</v>
      </c>
      <c r="AI37" s="782">
        <v>0</v>
      </c>
      <c r="AJ37" s="782">
        <v>0.94</v>
      </c>
    </row>
    <row r="38" spans="1:36" s="354" customFormat="1" ht="11.45" customHeight="1">
      <c r="A38" s="696" t="s">
        <v>740</v>
      </c>
      <c r="B38" s="456">
        <v>2.97</v>
      </c>
      <c r="C38" s="456">
        <v>0.06</v>
      </c>
      <c r="D38" s="456">
        <v>-0.09</v>
      </c>
      <c r="E38" s="456">
        <v>0.82</v>
      </c>
      <c r="F38" s="456">
        <v>0.74</v>
      </c>
      <c r="G38" s="456">
        <v>1.23</v>
      </c>
      <c r="H38" s="456">
        <v>1.29</v>
      </c>
      <c r="I38" s="456">
        <v>0.01</v>
      </c>
      <c r="J38" s="456">
        <v>0.13</v>
      </c>
      <c r="K38" s="456">
        <v>2.52</v>
      </c>
      <c r="L38" s="456">
        <v>0</v>
      </c>
      <c r="M38" s="456">
        <v>0.2</v>
      </c>
      <c r="N38" s="456">
        <v>0.19</v>
      </c>
      <c r="O38" s="456">
        <v>1.51</v>
      </c>
      <c r="P38" s="456">
        <v>1.48</v>
      </c>
      <c r="Q38" s="456">
        <v>0.46</v>
      </c>
      <c r="R38" s="456">
        <v>3.51</v>
      </c>
      <c r="S38" s="696" t="s">
        <v>740</v>
      </c>
      <c r="T38" s="785">
        <v>0.65</v>
      </c>
      <c r="U38" s="785">
        <v>-0.26</v>
      </c>
      <c r="V38" s="785">
        <v>-3.42</v>
      </c>
      <c r="W38" s="785">
        <v>1.37</v>
      </c>
      <c r="X38" s="785">
        <v>0.51</v>
      </c>
      <c r="Y38" s="785">
        <v>0.12</v>
      </c>
      <c r="Z38" s="785">
        <v>0.19</v>
      </c>
      <c r="AA38" s="785">
        <v>2.94</v>
      </c>
      <c r="AB38" s="785">
        <v>1.48</v>
      </c>
      <c r="AC38" s="785">
        <v>1.43</v>
      </c>
      <c r="AD38" s="785">
        <v>0.05</v>
      </c>
      <c r="AE38" s="785">
        <v>1.05</v>
      </c>
      <c r="AF38" s="785">
        <v>-0.28999999999999998</v>
      </c>
      <c r="AG38" s="785">
        <v>0.56999999999999995</v>
      </c>
      <c r="AH38" s="785">
        <v>3.03</v>
      </c>
      <c r="AI38" s="785">
        <v>0</v>
      </c>
      <c r="AJ38" s="785">
        <v>-0.38</v>
      </c>
    </row>
    <row r="39" spans="1:36" s="354" customFormat="1" ht="11.45" customHeight="1">
      <c r="A39" s="806" t="s">
        <v>2114</v>
      </c>
      <c r="B39" s="686">
        <v>9.42</v>
      </c>
      <c r="C39" s="686">
        <v>0.1</v>
      </c>
      <c r="D39" s="686">
        <v>0.16</v>
      </c>
      <c r="E39" s="686">
        <v>10.14</v>
      </c>
      <c r="F39" s="686">
        <v>9.59</v>
      </c>
      <c r="G39" s="686">
        <v>6.06</v>
      </c>
      <c r="H39" s="686">
        <v>5.83</v>
      </c>
      <c r="I39" s="686">
        <v>-0.17</v>
      </c>
      <c r="J39" s="686">
        <v>1.63</v>
      </c>
      <c r="K39" s="686">
        <v>-1.74</v>
      </c>
      <c r="L39" s="686">
        <v>0</v>
      </c>
      <c r="M39" s="686">
        <v>-2.66</v>
      </c>
      <c r="N39" s="686">
        <v>2.21</v>
      </c>
      <c r="O39" s="686">
        <v>3.03</v>
      </c>
      <c r="P39" s="686">
        <v>-16.13</v>
      </c>
      <c r="Q39" s="686">
        <v>3.65</v>
      </c>
      <c r="R39" s="686">
        <v>8.8800000000000008</v>
      </c>
      <c r="S39" s="806" t="s">
        <v>2114</v>
      </c>
      <c r="T39" s="1587">
        <v>12.92</v>
      </c>
      <c r="U39" s="1587">
        <v>0</v>
      </c>
      <c r="V39" s="1587">
        <v>5.84</v>
      </c>
      <c r="W39" s="1587">
        <v>2.21</v>
      </c>
      <c r="X39" s="1587">
        <v>-1.64</v>
      </c>
      <c r="Y39" s="1587">
        <v>-3.71</v>
      </c>
      <c r="Z39" s="1587">
        <v>0.02</v>
      </c>
      <c r="AA39" s="1587">
        <v>5.92</v>
      </c>
      <c r="AB39" s="1587">
        <v>3.59</v>
      </c>
      <c r="AC39" s="1587">
        <v>9.41</v>
      </c>
      <c r="AD39" s="1587">
        <v>-6.69</v>
      </c>
      <c r="AE39" s="1587">
        <v>3.32</v>
      </c>
      <c r="AF39" s="1587">
        <v>-79.510000000000005</v>
      </c>
      <c r="AG39" s="1587">
        <v>3.41</v>
      </c>
      <c r="AH39" s="1587">
        <v>-3.65</v>
      </c>
      <c r="AI39" s="1587">
        <v>0</v>
      </c>
      <c r="AJ39" s="1587">
        <v>12.51</v>
      </c>
    </row>
    <row r="40" spans="1:36" s="354" customFormat="1" ht="11.45" customHeight="1">
      <c r="A40" s="696" t="s">
        <v>742</v>
      </c>
      <c r="B40" s="456">
        <v>4.71</v>
      </c>
      <c r="C40" s="456">
        <v>0.12</v>
      </c>
      <c r="D40" s="456">
        <v>0.16</v>
      </c>
      <c r="E40" s="456">
        <v>2.38</v>
      </c>
      <c r="F40" s="456">
        <v>1.28</v>
      </c>
      <c r="G40" s="456">
        <v>5.0199999999999996</v>
      </c>
      <c r="H40" s="456">
        <v>4.8899999999999997</v>
      </c>
      <c r="I40" s="456">
        <v>0.01</v>
      </c>
      <c r="J40" s="456">
        <v>0.75</v>
      </c>
      <c r="K40" s="456">
        <v>-2.21</v>
      </c>
      <c r="L40" s="456">
        <v>0</v>
      </c>
      <c r="M40" s="456">
        <v>2.5299999999999998</v>
      </c>
      <c r="N40" s="456">
        <v>0.64</v>
      </c>
      <c r="O40" s="456">
        <v>0.88</v>
      </c>
      <c r="P40" s="456">
        <v>0.95</v>
      </c>
      <c r="Q40" s="456">
        <v>1.97</v>
      </c>
      <c r="R40" s="456">
        <v>3.86</v>
      </c>
      <c r="S40" s="696" t="s">
        <v>742</v>
      </c>
      <c r="T40" s="785">
        <v>7.12</v>
      </c>
      <c r="U40" s="785">
        <v>0</v>
      </c>
      <c r="V40" s="785">
        <v>0.52</v>
      </c>
      <c r="W40" s="785">
        <v>-0.03</v>
      </c>
      <c r="X40" s="785">
        <v>0</v>
      </c>
      <c r="Y40" s="785">
        <v>-3.46</v>
      </c>
      <c r="Z40" s="785">
        <v>0</v>
      </c>
      <c r="AA40" s="785">
        <v>0.45</v>
      </c>
      <c r="AB40" s="785">
        <v>1.47</v>
      </c>
      <c r="AC40" s="785">
        <v>6.92</v>
      </c>
      <c r="AD40" s="785">
        <v>0.23</v>
      </c>
      <c r="AE40" s="785">
        <v>4.25</v>
      </c>
      <c r="AF40" s="785">
        <v>-59.09</v>
      </c>
      <c r="AG40" s="785">
        <v>1.97</v>
      </c>
      <c r="AH40" s="785">
        <v>-1.55</v>
      </c>
      <c r="AI40" s="785">
        <v>0</v>
      </c>
      <c r="AJ40" s="785">
        <v>5.67</v>
      </c>
    </row>
    <row r="41" spans="1:36" s="354" customFormat="1" ht="11.45" customHeight="1">
      <c r="A41" s="699" t="s">
        <v>743</v>
      </c>
      <c r="B41" s="472">
        <v>2.4900000000000002</v>
      </c>
      <c r="C41" s="472">
        <v>-0.03</v>
      </c>
      <c r="D41" s="472">
        <v>0</v>
      </c>
      <c r="E41" s="472">
        <v>1.86</v>
      </c>
      <c r="F41" s="472">
        <v>1.89</v>
      </c>
      <c r="G41" s="472">
        <v>0.97</v>
      </c>
      <c r="H41" s="472">
        <v>0.96</v>
      </c>
      <c r="I41" s="472">
        <v>-0.01</v>
      </c>
      <c r="J41" s="472">
        <v>2.5099999999999998</v>
      </c>
      <c r="K41" s="472">
        <v>0.41</v>
      </c>
      <c r="L41" s="472">
        <v>0</v>
      </c>
      <c r="M41" s="472">
        <v>-0.41</v>
      </c>
      <c r="N41" s="472">
        <v>0.1</v>
      </c>
      <c r="O41" s="472">
        <v>1.85</v>
      </c>
      <c r="P41" s="472">
        <v>2.17</v>
      </c>
      <c r="Q41" s="472">
        <v>0.92</v>
      </c>
      <c r="R41" s="472">
        <v>1.1100000000000001</v>
      </c>
      <c r="S41" s="699" t="s">
        <v>743</v>
      </c>
      <c r="T41" s="782">
        <v>2.65</v>
      </c>
      <c r="U41" s="782">
        <v>0</v>
      </c>
      <c r="V41" s="782">
        <v>-0.39</v>
      </c>
      <c r="W41" s="782">
        <v>2.89</v>
      </c>
      <c r="X41" s="782">
        <v>-0.02</v>
      </c>
      <c r="Y41" s="782">
        <v>-2.1800000000000002</v>
      </c>
      <c r="Z41" s="782">
        <v>0.01</v>
      </c>
      <c r="AA41" s="782">
        <v>0.65</v>
      </c>
      <c r="AB41" s="782">
        <v>1.1299999999999999</v>
      </c>
      <c r="AC41" s="782">
        <v>1.17</v>
      </c>
      <c r="AD41" s="782">
        <v>-0.28000000000000003</v>
      </c>
      <c r="AE41" s="782">
        <v>0.95</v>
      </c>
      <c r="AF41" s="782">
        <v>0</v>
      </c>
      <c r="AG41" s="782">
        <v>0.82</v>
      </c>
      <c r="AH41" s="782">
        <v>1.05</v>
      </c>
      <c r="AI41" s="782">
        <v>0</v>
      </c>
      <c r="AJ41" s="782">
        <v>2.74</v>
      </c>
    </row>
    <row r="42" spans="1:36" s="354" customFormat="1" ht="11.45" customHeight="1">
      <c r="A42" s="696" t="s">
        <v>737</v>
      </c>
      <c r="B42" s="456">
        <v>-3.24</v>
      </c>
      <c r="C42" s="456">
        <v>-0.02</v>
      </c>
      <c r="D42" s="456">
        <v>-0.04</v>
      </c>
      <c r="E42" s="456">
        <v>-2.17</v>
      </c>
      <c r="F42" s="456">
        <v>0.74</v>
      </c>
      <c r="G42" s="456">
        <v>-1.41</v>
      </c>
      <c r="H42" s="456">
        <v>-1.35</v>
      </c>
      <c r="I42" s="456">
        <v>0.01</v>
      </c>
      <c r="J42" s="456">
        <v>-0.87</v>
      </c>
      <c r="K42" s="456">
        <v>-2.36</v>
      </c>
      <c r="L42" s="456">
        <v>0</v>
      </c>
      <c r="M42" s="456">
        <v>-0.28000000000000003</v>
      </c>
      <c r="N42" s="456">
        <v>-0.28000000000000003</v>
      </c>
      <c r="O42" s="456">
        <v>0.17</v>
      </c>
      <c r="P42" s="456">
        <v>2.37</v>
      </c>
      <c r="Q42" s="456">
        <v>-0.83</v>
      </c>
      <c r="R42" s="456">
        <v>-2.2999999999999998</v>
      </c>
      <c r="S42" s="696" t="s">
        <v>737</v>
      </c>
      <c r="T42" s="785">
        <v>-6.61</v>
      </c>
      <c r="U42" s="785">
        <v>0</v>
      </c>
      <c r="V42" s="785">
        <v>1.1100000000000001</v>
      </c>
      <c r="W42" s="785">
        <v>-0.06</v>
      </c>
      <c r="X42" s="785">
        <v>0.02</v>
      </c>
      <c r="Y42" s="785">
        <v>-5.93</v>
      </c>
      <c r="Z42" s="785">
        <v>-0.01</v>
      </c>
      <c r="AA42" s="785">
        <v>1.22</v>
      </c>
      <c r="AB42" s="785">
        <v>-0.77</v>
      </c>
      <c r="AC42" s="785">
        <v>-4</v>
      </c>
      <c r="AD42" s="785">
        <v>0.61</v>
      </c>
      <c r="AE42" s="785">
        <v>-1.68</v>
      </c>
      <c r="AF42" s="785">
        <v>0</v>
      </c>
      <c r="AG42" s="785">
        <v>-0.79</v>
      </c>
      <c r="AH42" s="785">
        <v>-1.99</v>
      </c>
      <c r="AI42" s="785">
        <v>0</v>
      </c>
      <c r="AJ42" s="785">
        <v>-3.66</v>
      </c>
    </row>
    <row r="43" spans="1:36" s="354" customFormat="1" ht="11.45" customHeight="1">
      <c r="A43" s="699" t="s">
        <v>744</v>
      </c>
      <c r="B43" s="472">
        <v>-1.1599999999999999</v>
      </c>
      <c r="C43" s="472">
        <v>0.05</v>
      </c>
      <c r="D43" s="472">
        <v>0.03</v>
      </c>
      <c r="E43" s="472">
        <v>0.51</v>
      </c>
      <c r="F43" s="472">
        <v>1.25</v>
      </c>
      <c r="G43" s="472">
        <v>0.04</v>
      </c>
      <c r="H43" s="472">
        <v>0.01</v>
      </c>
      <c r="I43" s="472">
        <v>0</v>
      </c>
      <c r="J43" s="472">
        <v>-0.57999999999999996</v>
      </c>
      <c r="K43" s="472">
        <v>1.88</v>
      </c>
      <c r="L43" s="472">
        <v>0</v>
      </c>
      <c r="M43" s="472">
        <v>1.28</v>
      </c>
      <c r="N43" s="472">
        <v>0.2</v>
      </c>
      <c r="O43" s="472">
        <v>0.05</v>
      </c>
      <c r="P43" s="472">
        <v>1.59</v>
      </c>
      <c r="Q43" s="472">
        <v>0.79</v>
      </c>
      <c r="R43" s="472">
        <v>0.76</v>
      </c>
      <c r="S43" s="699" t="s">
        <v>744</v>
      </c>
      <c r="T43" s="782">
        <v>0.54</v>
      </c>
      <c r="U43" s="782">
        <v>-0.01</v>
      </c>
      <c r="V43" s="782">
        <v>3.18</v>
      </c>
      <c r="W43" s="782">
        <v>0.1</v>
      </c>
      <c r="X43" s="782">
        <v>-0.02</v>
      </c>
      <c r="Y43" s="782">
        <v>-0.06</v>
      </c>
      <c r="Z43" s="782">
        <v>0.01</v>
      </c>
      <c r="AA43" s="782">
        <v>3.23</v>
      </c>
      <c r="AB43" s="782">
        <v>0.26</v>
      </c>
      <c r="AC43" s="782">
        <v>1.66</v>
      </c>
      <c r="AD43" s="782">
        <v>0.47</v>
      </c>
      <c r="AE43" s="782">
        <v>0.97</v>
      </c>
      <c r="AF43" s="782">
        <v>0</v>
      </c>
      <c r="AG43" s="782">
        <v>0.34</v>
      </c>
      <c r="AH43" s="782">
        <v>1.42</v>
      </c>
      <c r="AI43" s="782">
        <v>0</v>
      </c>
      <c r="AJ43" s="782">
        <v>0.93</v>
      </c>
    </row>
    <row r="44" spans="1:36" s="354" customFormat="1" ht="11.45" customHeight="1">
      <c r="A44" s="696" t="s">
        <v>745</v>
      </c>
      <c r="B44" s="456">
        <v>4.83</v>
      </c>
      <c r="C44" s="456">
        <v>0</v>
      </c>
      <c r="D44" s="456">
        <v>0</v>
      </c>
      <c r="E44" s="456">
        <v>2.56</v>
      </c>
      <c r="F44" s="456">
        <v>2.33</v>
      </c>
      <c r="G44" s="456">
        <v>1.87</v>
      </c>
      <c r="H44" s="456">
        <v>1.86</v>
      </c>
      <c r="I44" s="456">
        <v>-0.01</v>
      </c>
      <c r="J44" s="456">
        <v>0.34</v>
      </c>
      <c r="K44" s="456">
        <v>3.69</v>
      </c>
      <c r="L44" s="456">
        <v>0</v>
      </c>
      <c r="M44" s="456">
        <v>0.22</v>
      </c>
      <c r="N44" s="456">
        <v>0.08</v>
      </c>
      <c r="O44" s="456">
        <v>2.15</v>
      </c>
      <c r="P44" s="456">
        <v>-2.13</v>
      </c>
      <c r="Q44" s="456">
        <v>0.48</v>
      </c>
      <c r="R44" s="456">
        <v>5.84</v>
      </c>
      <c r="S44" s="696" t="s">
        <v>745</v>
      </c>
      <c r="T44" s="785">
        <v>6.07</v>
      </c>
      <c r="U44" s="785">
        <v>0.01</v>
      </c>
      <c r="V44" s="785">
        <v>0.76</v>
      </c>
      <c r="W44" s="785">
        <v>0.54</v>
      </c>
      <c r="X44" s="785">
        <v>0</v>
      </c>
      <c r="Y44" s="785">
        <v>3.86</v>
      </c>
      <c r="Z44" s="785">
        <v>-0.01</v>
      </c>
      <c r="AA44" s="785">
        <v>2.54</v>
      </c>
      <c r="AB44" s="785">
        <v>1.99</v>
      </c>
      <c r="AC44" s="785">
        <v>3.98</v>
      </c>
      <c r="AD44" s="785">
        <v>-0.56999999999999995</v>
      </c>
      <c r="AE44" s="785">
        <v>0.69</v>
      </c>
      <c r="AF44" s="785">
        <v>0</v>
      </c>
      <c r="AG44" s="785">
        <v>0.94</v>
      </c>
      <c r="AH44" s="785">
        <v>3.15</v>
      </c>
      <c r="AI44" s="785">
        <v>0</v>
      </c>
      <c r="AJ44" s="785">
        <v>2.57</v>
      </c>
    </row>
    <row r="45" spans="1:36" s="354" customFormat="1" ht="11.45" customHeight="1">
      <c r="A45" s="699" t="s">
        <v>738</v>
      </c>
      <c r="B45" s="472">
        <v>4.07</v>
      </c>
      <c r="C45" s="472">
        <v>0</v>
      </c>
      <c r="D45" s="472">
        <v>0</v>
      </c>
      <c r="E45" s="472">
        <v>1.79</v>
      </c>
      <c r="F45" s="472">
        <v>0.73</v>
      </c>
      <c r="G45" s="472">
        <v>2.83</v>
      </c>
      <c r="H45" s="472">
        <v>2.79</v>
      </c>
      <c r="I45" s="472">
        <v>-0.03</v>
      </c>
      <c r="J45" s="472">
        <v>1.08</v>
      </c>
      <c r="K45" s="472">
        <v>0.39</v>
      </c>
      <c r="L45" s="472">
        <v>0</v>
      </c>
      <c r="M45" s="472">
        <v>0.87</v>
      </c>
      <c r="N45" s="472">
        <v>0.36</v>
      </c>
      <c r="O45" s="472">
        <v>1.34</v>
      </c>
      <c r="P45" s="472">
        <v>-0.98</v>
      </c>
      <c r="Q45" s="472">
        <v>1.1100000000000001</v>
      </c>
      <c r="R45" s="472">
        <v>2.57</v>
      </c>
      <c r="S45" s="699" t="s">
        <v>738</v>
      </c>
      <c r="T45" s="782">
        <v>3.43</v>
      </c>
      <c r="U45" s="782">
        <v>0</v>
      </c>
      <c r="V45" s="782">
        <v>-0.79</v>
      </c>
      <c r="W45" s="782">
        <v>0.21</v>
      </c>
      <c r="X45" s="782">
        <v>0.02</v>
      </c>
      <c r="Y45" s="782">
        <v>3.36</v>
      </c>
      <c r="Z45" s="782">
        <v>-0.04</v>
      </c>
      <c r="AA45" s="782">
        <v>1.78</v>
      </c>
      <c r="AB45" s="782">
        <v>1.17</v>
      </c>
      <c r="AC45" s="782">
        <v>3.53</v>
      </c>
      <c r="AD45" s="782">
        <v>-0.38</v>
      </c>
      <c r="AE45" s="782">
        <v>2.62</v>
      </c>
      <c r="AF45" s="782">
        <v>0</v>
      </c>
      <c r="AG45" s="782">
        <v>1.05</v>
      </c>
      <c r="AH45" s="782">
        <v>1.1399999999999999</v>
      </c>
      <c r="AI45" s="782">
        <v>0</v>
      </c>
      <c r="AJ45" s="782">
        <v>2.3199999999999998</v>
      </c>
    </row>
    <row r="46" spans="1:36" s="354" customFormat="1" ht="11.45" customHeight="1">
      <c r="A46" s="696" t="s">
        <v>746</v>
      </c>
      <c r="B46" s="456">
        <v>-0.55000000000000004</v>
      </c>
      <c r="C46" s="456">
        <v>0</v>
      </c>
      <c r="D46" s="456">
        <v>0.01</v>
      </c>
      <c r="E46" s="456">
        <v>-0.15</v>
      </c>
      <c r="F46" s="456">
        <v>0.83</v>
      </c>
      <c r="G46" s="456">
        <v>-1.28</v>
      </c>
      <c r="H46" s="456">
        <v>-1.31</v>
      </c>
      <c r="I46" s="456">
        <v>-0.01</v>
      </c>
      <c r="J46" s="456">
        <v>0.33</v>
      </c>
      <c r="K46" s="456">
        <v>0.14000000000000001</v>
      </c>
      <c r="L46" s="456">
        <v>0</v>
      </c>
      <c r="M46" s="456">
        <v>-1.44</v>
      </c>
      <c r="N46" s="456">
        <v>0.51</v>
      </c>
      <c r="O46" s="456">
        <v>-0.68</v>
      </c>
      <c r="P46" s="456">
        <v>-0.15</v>
      </c>
      <c r="Q46" s="456">
        <v>0.03</v>
      </c>
      <c r="R46" s="456">
        <v>-0.19</v>
      </c>
      <c r="S46" s="696" t="s">
        <v>746</v>
      </c>
      <c r="T46" s="785">
        <v>-0.18</v>
      </c>
      <c r="U46" s="785">
        <v>0</v>
      </c>
      <c r="V46" s="785">
        <v>0.12</v>
      </c>
      <c r="W46" s="785">
        <v>-0.1</v>
      </c>
      <c r="X46" s="785">
        <v>-0.02</v>
      </c>
      <c r="Y46" s="785">
        <v>-2.99</v>
      </c>
      <c r="Z46" s="785">
        <v>0.03</v>
      </c>
      <c r="AA46" s="785">
        <v>-2.98</v>
      </c>
      <c r="AB46" s="785">
        <v>-0.44</v>
      </c>
      <c r="AC46" s="785">
        <v>-1.82</v>
      </c>
      <c r="AD46" s="785">
        <v>-2.4900000000000002</v>
      </c>
      <c r="AE46" s="785">
        <v>-1.04</v>
      </c>
      <c r="AF46" s="785">
        <v>0</v>
      </c>
      <c r="AG46" s="785">
        <v>0.03</v>
      </c>
      <c r="AH46" s="785">
        <v>0.22</v>
      </c>
      <c r="AI46" s="785">
        <v>0</v>
      </c>
      <c r="AJ46" s="785">
        <v>0.57999999999999996</v>
      </c>
    </row>
    <row r="47" spans="1:36" s="354" customFormat="1" ht="11.45" customHeight="1">
      <c r="A47" s="699" t="s">
        <v>747</v>
      </c>
      <c r="B47" s="472">
        <v>0.82</v>
      </c>
      <c r="C47" s="472">
        <v>0</v>
      </c>
      <c r="D47" s="472">
        <v>-0.01</v>
      </c>
      <c r="E47" s="472">
        <v>0.3</v>
      </c>
      <c r="F47" s="472">
        <v>-0.01</v>
      </c>
      <c r="G47" s="472">
        <v>-0.51</v>
      </c>
      <c r="H47" s="472">
        <v>-0.5</v>
      </c>
      <c r="I47" s="472">
        <v>-0.05</v>
      </c>
      <c r="J47" s="472">
        <v>-1.39</v>
      </c>
      <c r="K47" s="472">
        <v>-1.61</v>
      </c>
      <c r="L47" s="472">
        <v>0</v>
      </c>
      <c r="M47" s="472">
        <v>-1.78</v>
      </c>
      <c r="N47" s="472">
        <v>0.05</v>
      </c>
      <c r="O47" s="472">
        <v>-0.3</v>
      </c>
      <c r="P47" s="472">
        <v>-5.67</v>
      </c>
      <c r="Q47" s="472">
        <v>-0.1</v>
      </c>
      <c r="R47" s="472">
        <v>0.6</v>
      </c>
      <c r="S47" s="699" t="s">
        <v>747</v>
      </c>
      <c r="T47" s="782">
        <v>-1.1299999999999999</v>
      </c>
      <c r="U47" s="782">
        <v>0</v>
      </c>
      <c r="V47" s="782">
        <v>1.17</v>
      </c>
      <c r="W47" s="782">
        <v>-1.37</v>
      </c>
      <c r="X47" s="782">
        <v>0.01</v>
      </c>
      <c r="Y47" s="782">
        <v>1.95</v>
      </c>
      <c r="Z47" s="782">
        <v>0</v>
      </c>
      <c r="AA47" s="782">
        <v>-0.56999999999999995</v>
      </c>
      <c r="AB47" s="782">
        <v>-0.2</v>
      </c>
      <c r="AC47" s="782">
        <v>-0.89</v>
      </c>
      <c r="AD47" s="782">
        <v>-1.93</v>
      </c>
      <c r="AE47" s="782">
        <v>-1.98</v>
      </c>
      <c r="AF47" s="782">
        <v>0</v>
      </c>
      <c r="AG47" s="782">
        <v>-0.1</v>
      </c>
      <c r="AH47" s="782">
        <v>-2</v>
      </c>
      <c r="AI47" s="782">
        <v>0</v>
      </c>
      <c r="AJ47" s="782">
        <v>1.68</v>
      </c>
    </row>
    <row r="48" spans="1:36" s="354" customFormat="1" ht="11.45" customHeight="1">
      <c r="A48" s="696" t="s">
        <v>739</v>
      </c>
      <c r="B48" s="456">
        <v>-1.42</v>
      </c>
      <c r="C48" s="456">
        <v>0</v>
      </c>
      <c r="D48" s="456">
        <v>0.01</v>
      </c>
      <c r="E48" s="456">
        <v>0.83</v>
      </c>
      <c r="F48" s="456">
        <v>-1.52</v>
      </c>
      <c r="G48" s="456">
        <v>-2.95</v>
      </c>
      <c r="H48" s="456">
        <v>-2.98</v>
      </c>
      <c r="I48" s="456">
        <v>-0.24</v>
      </c>
      <c r="J48" s="456">
        <v>0.67</v>
      </c>
      <c r="K48" s="456">
        <v>-2.09</v>
      </c>
      <c r="L48" s="456">
        <v>0</v>
      </c>
      <c r="M48" s="456">
        <v>-3.42</v>
      </c>
      <c r="N48" s="456">
        <v>0.17</v>
      </c>
      <c r="O48" s="456">
        <v>-2.5099999999999998</v>
      </c>
      <c r="P48" s="456">
        <v>0</v>
      </c>
      <c r="Q48" s="456">
        <v>-1.33</v>
      </c>
      <c r="R48" s="456">
        <v>-3.5</v>
      </c>
      <c r="S48" s="696" t="s">
        <v>739</v>
      </c>
      <c r="T48" s="785">
        <v>1.1499999999999999</v>
      </c>
      <c r="U48" s="785">
        <v>0</v>
      </c>
      <c r="V48" s="785">
        <v>3.46</v>
      </c>
      <c r="W48" s="785">
        <v>0.41</v>
      </c>
      <c r="X48" s="785">
        <v>0.02</v>
      </c>
      <c r="Y48" s="785">
        <v>-2</v>
      </c>
      <c r="Z48" s="785">
        <v>0.01</v>
      </c>
      <c r="AA48" s="785">
        <v>-0.63</v>
      </c>
      <c r="AB48" s="785">
        <v>-1.21</v>
      </c>
      <c r="AC48" s="785">
        <v>-3.55</v>
      </c>
      <c r="AD48" s="785">
        <v>-2.75</v>
      </c>
      <c r="AE48" s="785">
        <v>-3.59</v>
      </c>
      <c r="AF48" s="785">
        <v>0</v>
      </c>
      <c r="AG48" s="785">
        <v>-1.56</v>
      </c>
      <c r="AH48" s="785">
        <v>-2.9</v>
      </c>
      <c r="AI48" s="785">
        <v>0</v>
      </c>
      <c r="AJ48" s="785">
        <v>-1.39</v>
      </c>
    </row>
    <row r="49" spans="1:36" s="354" customFormat="1" ht="11.45" customHeight="1">
      <c r="A49" s="699" t="s">
        <v>748</v>
      </c>
      <c r="B49" s="472">
        <v>2.56</v>
      </c>
      <c r="C49" s="472">
        <v>0</v>
      </c>
      <c r="D49" s="472">
        <v>0</v>
      </c>
      <c r="E49" s="472">
        <v>2.61</v>
      </c>
      <c r="F49" s="472">
        <v>1.54</v>
      </c>
      <c r="G49" s="472">
        <v>3.51</v>
      </c>
      <c r="H49" s="472">
        <v>3.49</v>
      </c>
      <c r="I49" s="472">
        <v>0.15</v>
      </c>
      <c r="J49" s="472">
        <v>-1.41</v>
      </c>
      <c r="K49" s="472">
        <v>0.64</v>
      </c>
      <c r="L49" s="472">
        <v>0</v>
      </c>
      <c r="M49" s="472">
        <v>1.62</v>
      </c>
      <c r="N49" s="472">
        <v>0.4</v>
      </c>
      <c r="O49" s="472">
        <v>1.38</v>
      </c>
      <c r="P49" s="472">
        <v>-9.4700000000000006</v>
      </c>
      <c r="Q49" s="472">
        <v>1.1299999999999999</v>
      </c>
      <c r="R49" s="472">
        <v>3.9</v>
      </c>
      <c r="S49" s="699" t="s">
        <v>748</v>
      </c>
      <c r="T49" s="782">
        <v>4.53</v>
      </c>
      <c r="U49" s="782">
        <v>0</v>
      </c>
      <c r="V49" s="782">
        <v>-0.26</v>
      </c>
      <c r="W49" s="782">
        <v>0.28000000000000003</v>
      </c>
      <c r="X49" s="782">
        <v>0</v>
      </c>
      <c r="Y49" s="782">
        <v>2.1</v>
      </c>
      <c r="Z49" s="782">
        <v>0.01</v>
      </c>
      <c r="AA49" s="782">
        <v>2.21</v>
      </c>
      <c r="AB49" s="782">
        <v>1.72</v>
      </c>
      <c r="AC49" s="782">
        <v>4.96</v>
      </c>
      <c r="AD49" s="782">
        <v>2.56</v>
      </c>
      <c r="AE49" s="782">
        <v>3.58</v>
      </c>
      <c r="AF49" s="782">
        <v>-49.93</v>
      </c>
      <c r="AG49" s="782">
        <v>1.48</v>
      </c>
      <c r="AH49" s="782">
        <v>0.42</v>
      </c>
      <c r="AI49" s="782">
        <v>0</v>
      </c>
      <c r="AJ49" s="782">
        <v>1.4</v>
      </c>
    </row>
    <row r="50" spans="1:36" s="354" customFormat="1" ht="11.45" customHeight="1">
      <c r="A50" s="696" t="s">
        <v>749</v>
      </c>
      <c r="B50" s="456">
        <v>-0.99</v>
      </c>
      <c r="C50" s="456">
        <v>0</v>
      </c>
      <c r="D50" s="456">
        <v>-0.01</v>
      </c>
      <c r="E50" s="456">
        <v>1.98</v>
      </c>
      <c r="F50" s="456">
        <v>1.62</v>
      </c>
      <c r="G50" s="456">
        <v>0.53</v>
      </c>
      <c r="H50" s="456">
        <v>0.54</v>
      </c>
      <c r="I50" s="456">
        <v>0.02</v>
      </c>
      <c r="J50" s="456">
        <v>2.88</v>
      </c>
      <c r="K50" s="456">
        <v>1.28</v>
      </c>
      <c r="L50" s="456">
        <v>0</v>
      </c>
      <c r="M50" s="456">
        <v>-1.1100000000000001</v>
      </c>
      <c r="N50" s="456">
        <v>7.0000000000000007E-2</v>
      </c>
      <c r="O50" s="456">
        <v>-0.85</v>
      </c>
      <c r="P50" s="456">
        <v>-5.38</v>
      </c>
      <c r="Q50" s="456">
        <v>0.57999999999999996</v>
      </c>
      <c r="R50" s="456">
        <v>-7.0000000000000007E-2</v>
      </c>
      <c r="S50" s="696" t="s">
        <v>749</v>
      </c>
      <c r="T50" s="785">
        <v>-2.27</v>
      </c>
      <c r="U50" s="785">
        <v>0</v>
      </c>
      <c r="V50" s="785">
        <v>-0.61</v>
      </c>
      <c r="W50" s="785">
        <v>1.46</v>
      </c>
      <c r="X50" s="785">
        <v>-0.6</v>
      </c>
      <c r="Y50" s="785">
        <v>1.32</v>
      </c>
      <c r="Z50" s="785">
        <v>-0.02</v>
      </c>
      <c r="AA50" s="785">
        <v>-0.37</v>
      </c>
      <c r="AB50" s="785">
        <v>0.19</v>
      </c>
      <c r="AC50" s="785">
        <v>0.31</v>
      </c>
      <c r="AD50" s="785">
        <v>-1.52</v>
      </c>
      <c r="AE50" s="785">
        <v>1.08</v>
      </c>
      <c r="AF50" s="785">
        <v>0</v>
      </c>
      <c r="AG50" s="785">
        <v>0.39</v>
      </c>
      <c r="AH50" s="785">
        <v>0.05</v>
      </c>
      <c r="AI50" s="785">
        <v>0</v>
      </c>
      <c r="AJ50" s="785">
        <v>1.83</v>
      </c>
    </row>
    <row r="51" spans="1:36" s="354" customFormat="1" ht="11.45" customHeight="1" thickBot="1">
      <c r="A51" s="1389" t="s">
        <v>740</v>
      </c>
      <c r="B51" s="1546">
        <v>-2.62</v>
      </c>
      <c r="C51" s="1546">
        <v>-0.01</v>
      </c>
      <c r="D51" s="1546">
        <v>0.01</v>
      </c>
      <c r="E51" s="1546">
        <v>-2.63</v>
      </c>
      <c r="F51" s="1546">
        <v>-1.42</v>
      </c>
      <c r="G51" s="1546">
        <v>-2.42</v>
      </c>
      <c r="H51" s="1546">
        <v>-2.41</v>
      </c>
      <c r="I51" s="1546">
        <v>-0.03</v>
      </c>
      <c r="J51" s="1546">
        <v>-2.54</v>
      </c>
      <c r="K51" s="1546">
        <v>-1.71</v>
      </c>
      <c r="L51" s="1546">
        <v>0</v>
      </c>
      <c r="M51" s="1546">
        <v>-0.62</v>
      </c>
      <c r="N51" s="1546">
        <v>-0.1</v>
      </c>
      <c r="O51" s="1546">
        <v>-0.4</v>
      </c>
      <c r="P51" s="1546">
        <v>0</v>
      </c>
      <c r="Q51" s="1546">
        <v>-1.1100000000000001</v>
      </c>
      <c r="R51" s="1546">
        <v>-3.56</v>
      </c>
      <c r="S51" s="1389" t="s">
        <v>740</v>
      </c>
      <c r="T51" s="1547">
        <v>-2.25</v>
      </c>
      <c r="U51" s="1547">
        <v>0</v>
      </c>
      <c r="V51" s="1547">
        <v>-2.4300000000000002</v>
      </c>
      <c r="W51" s="1547">
        <v>-2.0499999999999998</v>
      </c>
      <c r="X51" s="1547">
        <v>-1.05</v>
      </c>
      <c r="Y51" s="1547">
        <v>0.74</v>
      </c>
      <c r="Z51" s="1547">
        <v>0.01</v>
      </c>
      <c r="AA51" s="1547">
        <v>-1.6</v>
      </c>
      <c r="AB51" s="1547">
        <v>-1.68</v>
      </c>
      <c r="AC51" s="1547">
        <v>-2.57</v>
      </c>
      <c r="AD51" s="1547">
        <v>-0.75</v>
      </c>
      <c r="AE51" s="1547">
        <v>-2.27</v>
      </c>
      <c r="AF51" s="1547">
        <v>0</v>
      </c>
      <c r="AG51" s="1547">
        <v>-1.1599999999999999</v>
      </c>
      <c r="AH51" s="1547">
        <v>-2.5299999999999998</v>
      </c>
      <c r="AI51" s="1547">
        <v>0</v>
      </c>
      <c r="AJ51" s="1547">
        <v>-2.48</v>
      </c>
    </row>
    <row r="52" spans="1:36" s="14" customFormat="1" ht="12" customHeight="1">
      <c r="A52" s="266" t="s">
        <v>796</v>
      </c>
      <c r="B52" s="2246" t="s">
        <v>1750</v>
      </c>
      <c r="C52" s="2246"/>
      <c r="D52" s="2246"/>
      <c r="E52" s="2246"/>
      <c r="F52" s="2246"/>
      <c r="G52" s="2246"/>
      <c r="H52" s="267"/>
      <c r="I52" s="269" t="s">
        <v>392</v>
      </c>
      <c r="J52" s="267" t="s">
        <v>1653</v>
      </c>
      <c r="S52" s="269" t="s">
        <v>392</v>
      </c>
      <c r="T52" s="267" t="s">
        <v>1653</v>
      </c>
    </row>
    <row r="53" spans="1:36">
      <c r="A53" s="14"/>
      <c r="B53" s="839"/>
      <c r="C53" s="839"/>
      <c r="D53" s="839"/>
      <c r="E53" s="839"/>
      <c r="F53" s="839"/>
      <c r="G53" s="839"/>
      <c r="H53" s="839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</row>
    <row r="56" spans="1:36"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</row>
    <row r="57" spans="1:36"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</row>
    <row r="58" spans="1:36"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</row>
    <row r="59" spans="1:36"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</row>
    <row r="60" spans="1:36"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</row>
  </sheetData>
  <mergeCells count="9">
    <mergeCell ref="B52:G52"/>
    <mergeCell ref="AI2:AJ2"/>
    <mergeCell ref="AH1:AJ1"/>
    <mergeCell ref="A1:H1"/>
    <mergeCell ref="I1:N1"/>
    <mergeCell ref="P1:R1"/>
    <mergeCell ref="Q2:R2"/>
    <mergeCell ref="AB1:AF1"/>
    <mergeCell ref="S1:AA1"/>
  </mergeCells>
  <phoneticPr fontId="43" type="noConversion"/>
  <pageMargins left="0.62992125984252001" right="0.511811023622047" top="0.511811023622047" bottom="0.511811023622047" header="0" footer="0.143700787"/>
  <pageSetup paperSize="448" firstPageNumber="96" orientation="portrait" useFirstPageNumber="1" r:id="rId1"/>
  <headerFooter>
    <oddFooter>&amp;C&amp;"Times New Roman,Regular"&amp;8&amp;P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X76"/>
  <sheetViews>
    <sheetView zoomScale="150" zoomScaleNormal="150" workbookViewId="0">
      <pane xSplit="1" ySplit="4" topLeftCell="B41" activePane="bottomRight" state="frozen"/>
      <selection activeCell="F85" sqref="F85"/>
      <selection pane="topRight" activeCell="F85" sqref="F85"/>
      <selection pane="bottomLeft" activeCell="F85" sqref="F85"/>
      <selection pane="bottomRight" sqref="A1:J1"/>
    </sheetView>
  </sheetViews>
  <sheetFormatPr defaultColWidth="9.140625" defaultRowHeight="11.25"/>
  <cols>
    <col min="1" max="1" width="7.85546875" style="19" customWidth="1"/>
    <col min="2" max="2" width="8.5703125" style="8" customWidth="1"/>
    <col min="3" max="3" width="7.7109375" style="8" customWidth="1"/>
    <col min="4" max="4" width="7" style="8" customWidth="1"/>
    <col min="5" max="5" width="7.42578125" style="8" customWidth="1"/>
    <col min="6" max="6" width="5.85546875" style="8" customWidth="1"/>
    <col min="7" max="7" width="8.5703125" style="8" customWidth="1"/>
    <col min="8" max="8" width="9.28515625" style="8" customWidth="1"/>
    <col min="9" max="9" width="7.42578125" style="8" customWidth="1"/>
    <col min="10" max="10" width="8.7109375" style="8" customWidth="1"/>
    <col min="11" max="11" width="6.85546875" style="8" customWidth="1"/>
    <col min="12" max="12" width="6.42578125" style="8" customWidth="1"/>
    <col min="13" max="13" width="8.5703125" style="8" customWidth="1"/>
    <col min="14" max="14" width="7" style="8" customWidth="1"/>
    <col min="15" max="15" width="7.140625" style="8" customWidth="1"/>
    <col min="16" max="16" width="6.5703125" style="8" customWidth="1"/>
    <col min="17" max="17" width="7.42578125" style="8" customWidth="1"/>
    <col min="18" max="18" width="9" style="8" customWidth="1"/>
    <col min="19" max="19" width="6.140625" style="8" customWidth="1"/>
    <col min="20" max="21" width="6.7109375" style="8" customWidth="1"/>
    <col min="22" max="16384" width="9.140625" style="8"/>
  </cols>
  <sheetData>
    <row r="1" spans="1:22" s="28" customFormat="1" ht="20.45" customHeight="1">
      <c r="A1" s="2252" t="s">
        <v>797</v>
      </c>
      <c r="B1" s="2252"/>
      <c r="C1" s="2252"/>
      <c r="D1" s="2252"/>
      <c r="E1" s="2252"/>
      <c r="F1" s="2252"/>
      <c r="G1" s="2252"/>
      <c r="H1" s="2252"/>
      <c r="I1" s="2252"/>
      <c r="J1" s="2252"/>
      <c r="K1" s="2042" t="s">
        <v>470</v>
      </c>
      <c r="L1" s="2253"/>
      <c r="M1" s="2253"/>
      <c r="N1" s="2253"/>
      <c r="O1" s="2253"/>
      <c r="P1" s="2253"/>
      <c r="Q1" s="2253"/>
      <c r="R1" s="2253"/>
      <c r="S1" s="2040" t="s">
        <v>1462</v>
      </c>
      <c r="T1" s="2040"/>
      <c r="U1" s="2040"/>
    </row>
    <row r="2" spans="1:22" s="137" customFormat="1" ht="30" customHeight="1">
      <c r="A2" s="72" t="s">
        <v>786</v>
      </c>
      <c r="B2" s="72" t="s">
        <v>473</v>
      </c>
      <c r="C2" s="251" t="s">
        <v>1055</v>
      </c>
      <c r="D2" s="72" t="s">
        <v>1435</v>
      </c>
      <c r="E2" s="2255" t="s">
        <v>1351</v>
      </c>
      <c r="F2" s="2256"/>
      <c r="G2" s="72" t="s">
        <v>472</v>
      </c>
      <c r="H2" s="72" t="s">
        <v>1357</v>
      </c>
      <c r="I2" s="79" t="s">
        <v>1348</v>
      </c>
      <c r="J2" s="72" t="s">
        <v>1356</v>
      </c>
      <c r="K2" s="72" t="s">
        <v>1350</v>
      </c>
      <c r="L2" s="2258" t="s">
        <v>1624</v>
      </c>
      <c r="M2" s="2259"/>
      <c r="N2" s="2260"/>
      <c r="O2" s="2255" t="s">
        <v>1623</v>
      </c>
      <c r="P2" s="2256"/>
      <c r="Q2" s="72" t="s">
        <v>1027</v>
      </c>
      <c r="R2" s="72" t="s">
        <v>281</v>
      </c>
      <c r="S2" s="2254" t="s">
        <v>1349</v>
      </c>
      <c r="T2" s="2254"/>
      <c r="U2" s="2254"/>
      <c r="V2" s="163"/>
    </row>
    <row r="3" spans="1:22" s="825" customFormat="1" ht="35.1" customHeight="1">
      <c r="A3" s="822" t="s">
        <v>787</v>
      </c>
      <c r="B3" s="822" t="s">
        <v>788</v>
      </c>
      <c r="C3" s="822" t="s">
        <v>718</v>
      </c>
      <c r="D3" s="829" t="s">
        <v>1436</v>
      </c>
      <c r="E3" s="822" t="s">
        <v>798</v>
      </c>
      <c r="F3" s="822" t="s">
        <v>799</v>
      </c>
      <c r="G3" s="822" t="s">
        <v>492</v>
      </c>
      <c r="H3" s="822" t="s">
        <v>800</v>
      </c>
      <c r="I3" s="830" t="s">
        <v>719</v>
      </c>
      <c r="J3" s="823" t="s">
        <v>810</v>
      </c>
      <c r="K3" s="823" t="s">
        <v>811</v>
      </c>
      <c r="L3" s="823" t="s">
        <v>812</v>
      </c>
      <c r="M3" s="823" t="s">
        <v>1622</v>
      </c>
      <c r="N3" s="823" t="s">
        <v>720</v>
      </c>
      <c r="O3" s="823" t="s">
        <v>801</v>
      </c>
      <c r="P3" s="823" t="s">
        <v>696</v>
      </c>
      <c r="Q3" s="823" t="s">
        <v>42</v>
      </c>
      <c r="R3" s="823" t="s">
        <v>802</v>
      </c>
      <c r="S3" s="823" t="s">
        <v>813</v>
      </c>
      <c r="T3" s="823" t="s">
        <v>814</v>
      </c>
      <c r="U3" s="823" t="s">
        <v>815</v>
      </c>
      <c r="V3" s="824"/>
    </row>
    <row r="4" spans="1:22" s="137" customFormat="1" ht="11.1" customHeight="1">
      <c r="A4" s="164" t="s">
        <v>663</v>
      </c>
      <c r="B4" s="164">
        <v>1</v>
      </c>
      <c r="C4" s="164">
        <v>2</v>
      </c>
      <c r="D4" s="164">
        <v>3</v>
      </c>
      <c r="E4" s="164">
        <v>4</v>
      </c>
      <c r="F4" s="164">
        <v>5</v>
      </c>
      <c r="G4" s="164">
        <v>6</v>
      </c>
      <c r="H4" s="164">
        <v>7</v>
      </c>
      <c r="I4" s="164">
        <v>8</v>
      </c>
      <c r="J4" s="164">
        <v>9</v>
      </c>
      <c r="K4" s="164">
        <v>10</v>
      </c>
      <c r="L4" s="164">
        <v>11</v>
      </c>
      <c r="M4" s="164">
        <v>12</v>
      </c>
      <c r="N4" s="164">
        <v>13</v>
      </c>
      <c r="O4" s="164">
        <v>14</v>
      </c>
      <c r="P4" s="164">
        <v>15</v>
      </c>
      <c r="Q4" s="164">
        <v>16</v>
      </c>
      <c r="R4" s="164">
        <v>17</v>
      </c>
      <c r="S4" s="164">
        <v>18</v>
      </c>
      <c r="T4" s="164">
        <v>19</v>
      </c>
      <c r="U4" s="164">
        <v>20</v>
      </c>
      <c r="V4" s="165"/>
    </row>
    <row r="5" spans="1:22" s="213" customFormat="1" ht="11.45" customHeight="1">
      <c r="A5" s="307">
        <v>2002</v>
      </c>
      <c r="B5" s="16">
        <v>310.03500000000003</v>
      </c>
      <c r="C5" s="16">
        <v>27.06</v>
      </c>
      <c r="D5" s="16">
        <v>12.68</v>
      </c>
      <c r="E5" s="16">
        <v>23.734200000000001</v>
      </c>
      <c r="F5" s="16">
        <v>24.9983</v>
      </c>
      <c r="G5" s="16">
        <v>46.260800000000003</v>
      </c>
      <c r="H5" s="16">
        <v>133.06700000000001</v>
      </c>
      <c r="I5" s="16">
        <v>94.361699999999999</v>
      </c>
      <c r="J5" s="16">
        <v>191.827</v>
      </c>
      <c r="K5" s="16">
        <v>222.398</v>
      </c>
      <c r="L5" s="16">
        <v>152.78299999999999</v>
      </c>
      <c r="M5" s="16">
        <v>132.167</v>
      </c>
      <c r="N5" s="16">
        <v>121.22</v>
      </c>
      <c r="O5" s="16">
        <v>356.745</v>
      </c>
      <c r="P5" s="16">
        <v>359.661</v>
      </c>
      <c r="Q5" s="16">
        <v>183.917</v>
      </c>
      <c r="R5" s="16">
        <v>409.84199999999998</v>
      </c>
      <c r="S5" s="16">
        <v>24.978300000000001</v>
      </c>
      <c r="T5" s="16">
        <v>6.2366700000000002</v>
      </c>
      <c r="U5" s="16">
        <v>20.940799999999999</v>
      </c>
      <c r="V5" s="599"/>
    </row>
    <row r="6" spans="1:22" ht="11.45" customHeight="1">
      <c r="A6" s="382">
        <v>2003</v>
      </c>
      <c r="B6" s="394">
        <v>363.50900000000001</v>
      </c>
      <c r="C6" s="394">
        <v>27.9542</v>
      </c>
      <c r="D6" s="394">
        <v>13.82</v>
      </c>
      <c r="E6" s="394">
        <v>26.7333</v>
      </c>
      <c r="F6" s="394">
        <v>28.852499999999999</v>
      </c>
      <c r="G6" s="394">
        <v>63.4437</v>
      </c>
      <c r="H6" s="394">
        <v>149.333</v>
      </c>
      <c r="I6" s="394">
        <v>138.89599999999999</v>
      </c>
      <c r="J6" s="394">
        <v>199.46100000000001</v>
      </c>
      <c r="K6" s="394">
        <v>248.75399999999999</v>
      </c>
      <c r="L6" s="394">
        <v>165.548</v>
      </c>
      <c r="M6" s="394">
        <v>131.571</v>
      </c>
      <c r="N6" s="394">
        <v>152.44999999999999</v>
      </c>
      <c r="O6" s="394">
        <v>410.37299999999999</v>
      </c>
      <c r="P6" s="394">
        <v>425.53800000000001</v>
      </c>
      <c r="Q6" s="394">
        <v>214.65600000000001</v>
      </c>
      <c r="R6" s="394">
        <v>500.28300000000002</v>
      </c>
      <c r="S6" s="394">
        <v>27.1768</v>
      </c>
      <c r="T6" s="394">
        <v>6.9257099999999996</v>
      </c>
      <c r="U6" s="394">
        <v>21.4998</v>
      </c>
      <c r="V6" s="105"/>
    </row>
    <row r="7" spans="1:22" s="213" customFormat="1" ht="11.45" customHeight="1">
      <c r="A7" s="307">
        <v>2004</v>
      </c>
      <c r="B7" s="16">
        <v>409.21199999999999</v>
      </c>
      <c r="C7" s="16">
        <v>56.729900000000001</v>
      </c>
      <c r="D7" s="16">
        <v>16.39</v>
      </c>
      <c r="E7" s="16">
        <v>33.455800000000004</v>
      </c>
      <c r="F7" s="16">
        <v>38.297499999999999</v>
      </c>
      <c r="G7" s="16">
        <v>62.006</v>
      </c>
      <c r="H7" s="16">
        <v>186.31200000000001</v>
      </c>
      <c r="I7" s="16">
        <v>175.292</v>
      </c>
      <c r="J7" s="16">
        <v>245.78299999999999</v>
      </c>
      <c r="K7" s="16">
        <v>269.95499999999998</v>
      </c>
      <c r="L7" s="16">
        <v>167.05</v>
      </c>
      <c r="M7" s="16">
        <v>133.45599999999999</v>
      </c>
      <c r="N7" s="16">
        <v>139.5</v>
      </c>
      <c r="O7" s="16">
        <v>434.72300000000001</v>
      </c>
      <c r="P7" s="16">
        <v>448.73899999999998</v>
      </c>
      <c r="Q7" s="16">
        <v>257.20499999999998</v>
      </c>
      <c r="R7" s="16">
        <v>590.452</v>
      </c>
      <c r="S7" s="16">
        <v>30.459700000000002</v>
      </c>
      <c r="T7" s="16">
        <v>7.5450999999999997</v>
      </c>
      <c r="U7" s="16">
        <v>20.571100000000001</v>
      </c>
      <c r="V7" s="599"/>
    </row>
    <row r="8" spans="1:22" ht="11.45" customHeight="1">
      <c r="A8" s="382">
        <v>2005</v>
      </c>
      <c r="B8" s="394">
        <v>444.84300000000002</v>
      </c>
      <c r="C8" s="394">
        <v>51.022399999999998</v>
      </c>
      <c r="D8" s="394">
        <v>28.11</v>
      </c>
      <c r="E8" s="394">
        <v>49.201700000000002</v>
      </c>
      <c r="F8" s="394">
        <v>54.434199999999997</v>
      </c>
      <c r="G8" s="394">
        <v>55.168300000000002</v>
      </c>
      <c r="H8" s="394">
        <v>201.47900000000001</v>
      </c>
      <c r="I8" s="394">
        <v>219.01900000000001</v>
      </c>
      <c r="J8" s="394">
        <v>287.81099999999998</v>
      </c>
      <c r="K8" s="394">
        <v>308.45100000000002</v>
      </c>
      <c r="L8" s="394">
        <v>163.43100000000001</v>
      </c>
      <c r="M8" s="394">
        <v>129.886</v>
      </c>
      <c r="N8" s="394">
        <v>121.4</v>
      </c>
      <c r="O8" s="394">
        <v>367.68700000000001</v>
      </c>
      <c r="P8" s="394">
        <v>390.75200000000001</v>
      </c>
      <c r="Q8" s="394">
        <v>205.762</v>
      </c>
      <c r="R8" s="394">
        <v>495.74700000000001</v>
      </c>
      <c r="S8" s="394">
        <v>30.2624</v>
      </c>
      <c r="T8" s="394">
        <v>10.0702</v>
      </c>
      <c r="U8" s="394">
        <v>21.0684</v>
      </c>
      <c r="V8" s="105"/>
    </row>
    <row r="9" spans="1:22" s="213" customFormat="1" ht="11.45" customHeight="1">
      <c r="A9" s="307">
        <v>2006</v>
      </c>
      <c r="B9" s="16">
        <v>604.33600000000001</v>
      </c>
      <c r="C9" s="16">
        <v>52.595999999999997</v>
      </c>
      <c r="D9" s="16">
        <v>33.450000000000003</v>
      </c>
      <c r="E9" s="16">
        <v>61.431699999999999</v>
      </c>
      <c r="F9" s="16">
        <v>65.39</v>
      </c>
      <c r="G9" s="16">
        <v>58.052500000000002</v>
      </c>
      <c r="H9" s="16">
        <v>201.63300000000001</v>
      </c>
      <c r="I9" s="16">
        <v>222.95400000000001</v>
      </c>
      <c r="J9" s="16">
        <v>303.51499999999999</v>
      </c>
      <c r="K9" s="16">
        <v>345.83100000000002</v>
      </c>
      <c r="L9" s="16">
        <v>169.399</v>
      </c>
      <c r="M9" s="16">
        <v>168.566</v>
      </c>
      <c r="N9" s="16">
        <v>153.30000000000001</v>
      </c>
      <c r="O9" s="16">
        <v>416.81400000000002</v>
      </c>
      <c r="P9" s="16">
        <v>425.46100000000001</v>
      </c>
      <c r="Q9" s="16">
        <v>193.97499999999999</v>
      </c>
      <c r="R9" s="16">
        <v>551.49599999999998</v>
      </c>
      <c r="S9" s="16">
        <v>30.639700000000001</v>
      </c>
      <c r="T9" s="16">
        <v>14.788500000000001</v>
      </c>
      <c r="U9" s="16">
        <v>22.119499999999999</v>
      </c>
      <c r="V9" s="599"/>
    </row>
    <row r="10" spans="1:22" ht="11.45" customHeight="1">
      <c r="A10" s="382">
        <v>2007</v>
      </c>
      <c r="B10" s="394">
        <v>696.72</v>
      </c>
      <c r="C10" s="394">
        <v>70.428299999999993</v>
      </c>
      <c r="D10" s="394">
        <v>36.630000000000003</v>
      </c>
      <c r="E10" s="394">
        <v>68.368300000000005</v>
      </c>
      <c r="F10" s="394">
        <v>72.712500000000006</v>
      </c>
      <c r="G10" s="394">
        <v>63.283700000000003</v>
      </c>
      <c r="H10" s="394">
        <v>339.05399999999997</v>
      </c>
      <c r="I10" s="394">
        <v>309.39999999999998</v>
      </c>
      <c r="J10" s="394">
        <v>332.39299999999997</v>
      </c>
      <c r="K10" s="394">
        <v>375.70800000000003</v>
      </c>
      <c r="L10" s="394">
        <v>243.411</v>
      </c>
      <c r="M10" s="394">
        <v>226.88499999999999</v>
      </c>
      <c r="N10" s="394">
        <v>209.6</v>
      </c>
      <c r="O10" s="394">
        <v>719.12199999999996</v>
      </c>
      <c r="P10" s="394">
        <v>694.65099999999995</v>
      </c>
      <c r="Q10" s="394">
        <v>263.673</v>
      </c>
      <c r="R10" s="394">
        <v>799.74199999999996</v>
      </c>
      <c r="S10" s="394">
        <v>33.284399999999998</v>
      </c>
      <c r="T10" s="394">
        <v>9.9566400000000002</v>
      </c>
      <c r="U10" s="394">
        <v>20.763200000000001</v>
      </c>
      <c r="V10" s="105"/>
    </row>
    <row r="11" spans="1:22" s="213" customFormat="1" ht="11.45" customHeight="1">
      <c r="A11" s="307">
        <v>2008</v>
      </c>
      <c r="B11" s="16">
        <v>871.70699999999999</v>
      </c>
      <c r="C11" s="16">
        <v>136.18299999999999</v>
      </c>
      <c r="D11" s="16">
        <v>61.565199999999997</v>
      </c>
      <c r="E11" s="16">
        <v>93.776700000000005</v>
      </c>
      <c r="F11" s="16">
        <v>97.66</v>
      </c>
      <c r="G11" s="16">
        <v>71.399900000000002</v>
      </c>
      <c r="H11" s="16">
        <v>879.38099999999997</v>
      </c>
      <c r="I11" s="16">
        <v>492.72500000000002</v>
      </c>
      <c r="J11" s="16">
        <v>700.2</v>
      </c>
      <c r="K11" s="16">
        <v>597.11800000000005</v>
      </c>
      <c r="L11" s="16">
        <v>383.31099999999998</v>
      </c>
      <c r="M11" s="16">
        <v>286.952</v>
      </c>
      <c r="N11" s="16">
        <v>289.39999999999998</v>
      </c>
      <c r="O11" s="16">
        <v>862.91800000000001</v>
      </c>
      <c r="P11" s="16">
        <v>924.9</v>
      </c>
      <c r="Q11" s="16">
        <v>367.93799999999999</v>
      </c>
      <c r="R11" s="16">
        <v>1133.79</v>
      </c>
      <c r="S11" s="16">
        <v>30.816099999999999</v>
      </c>
      <c r="T11" s="16">
        <v>12.452199999999999</v>
      </c>
      <c r="U11" s="16">
        <v>21.323399999999999</v>
      </c>
      <c r="V11" s="599"/>
    </row>
    <row r="12" spans="1:22" s="20" customFormat="1" ht="11.45" customHeight="1">
      <c r="A12" s="854">
        <v>2009</v>
      </c>
      <c r="B12" s="393">
        <v>972.96600000000001</v>
      </c>
      <c r="C12" s="393">
        <v>76.975899999999996</v>
      </c>
      <c r="D12" s="393">
        <v>79.993899999999996</v>
      </c>
      <c r="E12" s="393">
        <v>61.754899999999999</v>
      </c>
      <c r="F12" s="393">
        <v>61.860599999999998</v>
      </c>
      <c r="G12" s="393">
        <v>62.752000000000002</v>
      </c>
      <c r="H12" s="393">
        <v>257.41699999999997</v>
      </c>
      <c r="I12" s="393">
        <v>249.57400000000001</v>
      </c>
      <c r="J12" s="393">
        <v>589.37599999999998</v>
      </c>
      <c r="K12" s="393">
        <v>582.69000000000005</v>
      </c>
      <c r="L12" s="393">
        <v>246.96899999999999</v>
      </c>
      <c r="M12" s="393">
        <v>190.11199999999999</v>
      </c>
      <c r="N12" s="393">
        <v>200.2</v>
      </c>
      <c r="O12" s="393">
        <v>644.06799999999998</v>
      </c>
      <c r="P12" s="393">
        <v>634.09199999999998</v>
      </c>
      <c r="Q12" s="393">
        <v>359.27</v>
      </c>
      <c r="R12" s="393">
        <v>787.02</v>
      </c>
      <c r="S12" s="393">
        <v>26.014600000000002</v>
      </c>
      <c r="T12" s="393">
        <v>18.150400000000001</v>
      </c>
      <c r="U12" s="393">
        <v>24.335699999999999</v>
      </c>
      <c r="V12" s="282"/>
    </row>
    <row r="13" spans="1:22" s="213" customFormat="1" ht="11.45" customHeight="1">
      <c r="A13" s="307">
        <v>2010</v>
      </c>
      <c r="B13" s="36">
        <v>1224.6600000000001</v>
      </c>
      <c r="C13" s="36">
        <v>106.035</v>
      </c>
      <c r="D13" s="36">
        <v>146.72</v>
      </c>
      <c r="E13" s="36">
        <v>78.057900000000004</v>
      </c>
      <c r="F13" s="36">
        <v>79.631500000000003</v>
      </c>
      <c r="G13" s="36">
        <v>103.545</v>
      </c>
      <c r="H13" s="36">
        <v>381.89</v>
      </c>
      <c r="I13" s="36">
        <v>288.59199999999998</v>
      </c>
      <c r="J13" s="36">
        <v>520.55600000000004</v>
      </c>
      <c r="K13" s="36">
        <v>593.779</v>
      </c>
      <c r="L13" s="36">
        <v>241.82900000000001</v>
      </c>
      <c r="M13" s="36">
        <v>194.5</v>
      </c>
      <c r="N13" s="36">
        <v>233.5</v>
      </c>
      <c r="O13" s="36">
        <v>859.94200000000001</v>
      </c>
      <c r="P13" s="36">
        <v>819.53099999999995</v>
      </c>
      <c r="Q13" s="36">
        <v>331.31700000000001</v>
      </c>
      <c r="R13" s="36">
        <v>924.82799999999997</v>
      </c>
      <c r="S13" s="36">
        <v>25.712800000000001</v>
      </c>
      <c r="T13" s="36">
        <v>20.890899999999998</v>
      </c>
      <c r="U13" s="36">
        <v>31.051200000000001</v>
      </c>
      <c r="V13" s="313"/>
    </row>
    <row r="14" spans="1:22" s="213" customFormat="1" ht="11.45" customHeight="1">
      <c r="A14" s="382">
        <v>2011</v>
      </c>
      <c r="B14" s="372">
        <v>1569.21</v>
      </c>
      <c r="C14" s="372">
        <v>130.12299999999999</v>
      </c>
      <c r="D14" s="372">
        <v>167.79</v>
      </c>
      <c r="E14" s="372">
        <v>106.027</v>
      </c>
      <c r="F14" s="372">
        <v>110.952</v>
      </c>
      <c r="G14" s="372">
        <v>154.608</v>
      </c>
      <c r="H14" s="372">
        <v>538.26</v>
      </c>
      <c r="I14" s="372">
        <v>420.96</v>
      </c>
      <c r="J14" s="372">
        <v>551.71100000000001</v>
      </c>
      <c r="K14" s="372">
        <v>593.49199999999996</v>
      </c>
      <c r="L14" s="372">
        <v>317.43599999999998</v>
      </c>
      <c r="M14" s="372">
        <v>279.98899999999998</v>
      </c>
      <c r="N14" s="372">
        <v>304.8</v>
      </c>
      <c r="O14" s="372">
        <v>1076.5</v>
      </c>
      <c r="P14" s="372">
        <v>1068.3699999999999</v>
      </c>
      <c r="Q14" s="372">
        <v>378.86099999999999</v>
      </c>
      <c r="R14" s="372">
        <v>1215.82</v>
      </c>
      <c r="S14" s="372">
        <v>26.665199999999999</v>
      </c>
      <c r="T14" s="372">
        <v>26.235600000000002</v>
      </c>
      <c r="U14" s="372">
        <v>37.572499999999998</v>
      </c>
      <c r="V14" s="313"/>
    </row>
    <row r="15" spans="1:22" s="213" customFormat="1" ht="11.45" customHeight="1">
      <c r="A15" s="307">
        <v>2012</v>
      </c>
      <c r="B15" s="36">
        <v>1669.52</v>
      </c>
      <c r="C15" s="36">
        <v>103.247</v>
      </c>
      <c r="D15" s="36">
        <v>128.52600000000001</v>
      </c>
      <c r="E15" s="36">
        <v>108.919</v>
      </c>
      <c r="F15" s="36">
        <v>111.96</v>
      </c>
      <c r="G15" s="36">
        <v>89.241</v>
      </c>
      <c r="H15" s="36">
        <v>462</v>
      </c>
      <c r="I15" s="36">
        <v>405.40199999999999</v>
      </c>
      <c r="J15" s="36">
        <v>580.23599999999999</v>
      </c>
      <c r="K15" s="36">
        <v>683.029</v>
      </c>
      <c r="L15" s="36">
        <v>287.19799999999998</v>
      </c>
      <c r="M15" s="36">
        <v>276.12200000000001</v>
      </c>
      <c r="N15" s="36">
        <v>248.5</v>
      </c>
      <c r="O15" s="36">
        <v>939.83399999999995</v>
      </c>
      <c r="P15" s="36">
        <v>960.327</v>
      </c>
      <c r="Q15" s="36">
        <v>473.28399999999999</v>
      </c>
      <c r="R15" s="36">
        <v>1151.75</v>
      </c>
      <c r="S15" s="36">
        <v>26.360900000000001</v>
      </c>
      <c r="T15" s="36">
        <v>21.374500000000001</v>
      </c>
      <c r="U15" s="36">
        <v>28.895399999999999</v>
      </c>
      <c r="V15" s="313"/>
    </row>
    <row r="16" spans="1:22" s="211" customFormat="1" ht="11.45" customHeight="1">
      <c r="A16" s="382">
        <v>2013</v>
      </c>
      <c r="B16" s="372">
        <v>1411.46</v>
      </c>
      <c r="C16" s="372">
        <v>90.6023</v>
      </c>
      <c r="D16" s="372">
        <v>135.36099999999999</v>
      </c>
      <c r="E16" s="372">
        <v>105.43</v>
      </c>
      <c r="F16" s="372">
        <v>108.84399999999999</v>
      </c>
      <c r="G16" s="372">
        <v>90.400599999999997</v>
      </c>
      <c r="H16" s="372">
        <v>382.06299999999999</v>
      </c>
      <c r="I16" s="372">
        <v>340.12299999999999</v>
      </c>
      <c r="J16" s="372">
        <v>518.81200000000001</v>
      </c>
      <c r="K16" s="372">
        <v>658.726</v>
      </c>
      <c r="L16" s="372">
        <v>326.16699999999997</v>
      </c>
      <c r="M16" s="372">
        <v>265.75099999999998</v>
      </c>
      <c r="N16" s="372">
        <v>314</v>
      </c>
      <c r="O16" s="372">
        <v>764.197</v>
      </c>
      <c r="P16" s="372">
        <v>743.37900000000002</v>
      </c>
      <c r="Q16" s="372">
        <v>477.29899999999998</v>
      </c>
      <c r="R16" s="372">
        <v>1011.11</v>
      </c>
      <c r="S16" s="372">
        <v>26.011800000000001</v>
      </c>
      <c r="T16" s="372">
        <v>17.708500000000001</v>
      </c>
      <c r="U16" s="372">
        <v>21.214500000000001</v>
      </c>
      <c r="V16" s="313"/>
    </row>
    <row r="17" spans="1:24" s="243" customFormat="1" ht="11.45" customHeight="1">
      <c r="A17" s="855">
        <v>2014</v>
      </c>
      <c r="B17" s="185">
        <v>1265.58</v>
      </c>
      <c r="C17" s="185">
        <v>75.139300000000006</v>
      </c>
      <c r="D17" s="185">
        <v>96.841499999999996</v>
      </c>
      <c r="E17" s="185">
        <v>96.664100000000005</v>
      </c>
      <c r="F17" s="185">
        <v>98.943299999999994</v>
      </c>
      <c r="G17" s="185">
        <v>83.096699999999998</v>
      </c>
      <c r="H17" s="185">
        <v>388.34399999999999</v>
      </c>
      <c r="I17" s="185">
        <v>316.20999999999998</v>
      </c>
      <c r="J17" s="185" t="s">
        <v>430</v>
      </c>
      <c r="K17" s="185">
        <v>490.76400000000001</v>
      </c>
      <c r="L17" s="185">
        <v>291.87299999999999</v>
      </c>
      <c r="M17" s="185">
        <v>242.49600000000001</v>
      </c>
      <c r="N17" s="185">
        <v>324.02499999999998</v>
      </c>
      <c r="O17" s="185">
        <v>739.40800000000002</v>
      </c>
      <c r="P17" s="185">
        <v>743.99199999999996</v>
      </c>
      <c r="Q17" s="185">
        <v>466.96600000000001</v>
      </c>
      <c r="R17" s="185">
        <v>812.71</v>
      </c>
      <c r="S17" s="185">
        <v>27.394400000000001</v>
      </c>
      <c r="T17" s="185">
        <v>17.1264</v>
      </c>
      <c r="U17" s="185">
        <v>24.865400000000001</v>
      </c>
      <c r="V17" s="664"/>
    </row>
    <row r="18" spans="1:24" s="211" customFormat="1" ht="11.45" customHeight="1">
      <c r="A18" s="852">
        <v>2015</v>
      </c>
      <c r="B18" s="375">
        <f>AVERAGE(B19:B30)</f>
        <v>1160.6633333333334</v>
      </c>
      <c r="C18" s="375">
        <f t="shared" ref="C18:U18" si="0">AVERAGE(C19:C30)</f>
        <v>61.618599999999994</v>
      </c>
      <c r="D18" s="375">
        <f t="shared" si="0"/>
        <v>55.209266666666657</v>
      </c>
      <c r="E18" s="375">
        <f t="shared" si="0"/>
        <v>51.232049999999994</v>
      </c>
      <c r="F18" s="375">
        <f t="shared" si="0"/>
        <v>52.399408333333348</v>
      </c>
      <c r="G18" s="375">
        <f t="shared" si="0"/>
        <v>70.417191666666668</v>
      </c>
      <c r="H18" s="375">
        <f t="shared" si="0"/>
        <v>385</v>
      </c>
      <c r="I18" s="375">
        <f t="shared" si="0"/>
        <v>272.91941666666668</v>
      </c>
      <c r="J18" s="375" t="s">
        <v>430</v>
      </c>
      <c r="K18" s="375">
        <f t="shared" si="0"/>
        <v>469.92883333333333</v>
      </c>
      <c r="L18" s="375" t="s">
        <v>430</v>
      </c>
      <c r="M18" s="375">
        <f t="shared" si="0"/>
        <v>185.60733333333334</v>
      </c>
      <c r="N18" s="375">
        <f t="shared" si="0"/>
        <v>236.21666666666667</v>
      </c>
      <c r="O18" s="375">
        <f t="shared" si="0"/>
        <v>565.09</v>
      </c>
      <c r="P18" s="375">
        <f>AVERAGE(P19:P27)</f>
        <v>593.50144444444459</v>
      </c>
      <c r="Q18" s="375">
        <f t="shared" si="0"/>
        <v>352.72174999999993</v>
      </c>
      <c r="R18" s="375">
        <f t="shared" si="0"/>
        <v>672.16466666666656</v>
      </c>
      <c r="S18" s="375">
        <f t="shared" si="0"/>
        <v>25.423941666666668</v>
      </c>
      <c r="T18" s="375">
        <f t="shared" si="0"/>
        <v>13.238658333333335</v>
      </c>
      <c r="U18" s="375">
        <f t="shared" si="0"/>
        <v>24.850825</v>
      </c>
      <c r="V18" s="313"/>
    </row>
    <row r="19" spans="1:24" s="211" customFormat="1" ht="11.45" customHeight="1">
      <c r="A19" s="853" t="s">
        <v>746</v>
      </c>
      <c r="B19" s="325">
        <v>1250.75</v>
      </c>
      <c r="C19" s="325">
        <v>66.535700000000006</v>
      </c>
      <c r="D19" s="325">
        <v>67.386399999999995</v>
      </c>
      <c r="E19" s="325">
        <v>46.335000000000001</v>
      </c>
      <c r="F19" s="325">
        <v>48.416800000000002</v>
      </c>
      <c r="G19" s="325">
        <v>67.349999999999994</v>
      </c>
      <c r="H19" s="325">
        <v>400</v>
      </c>
      <c r="I19" s="325">
        <v>319.2</v>
      </c>
      <c r="J19" s="325" t="s">
        <v>430</v>
      </c>
      <c r="K19" s="325">
        <v>546.59199999999998</v>
      </c>
      <c r="L19" s="325" t="s">
        <v>430</v>
      </c>
      <c r="M19" s="325">
        <v>210.608</v>
      </c>
      <c r="N19" s="325">
        <v>261.8</v>
      </c>
      <c r="O19" s="325">
        <v>641.59699999999998</v>
      </c>
      <c r="P19" s="325">
        <v>617.11199999999997</v>
      </c>
      <c r="Q19" s="325">
        <v>379.041</v>
      </c>
      <c r="R19" s="325">
        <v>707.88099999999997</v>
      </c>
      <c r="S19" s="325">
        <v>25.170200000000001</v>
      </c>
      <c r="T19" s="325">
        <v>15.0625</v>
      </c>
      <c r="U19" s="325">
        <v>25.24</v>
      </c>
      <c r="V19" s="313"/>
      <c r="X19" s="313"/>
    </row>
    <row r="20" spans="1:24" s="211" customFormat="1" ht="11.45" customHeight="1">
      <c r="A20" s="854" t="s">
        <v>747</v>
      </c>
      <c r="B20" s="367">
        <v>1227.08</v>
      </c>
      <c r="C20" s="367">
        <v>65.785700000000006</v>
      </c>
      <c r="D20" s="367">
        <v>62.69</v>
      </c>
      <c r="E20" s="367">
        <v>56.15</v>
      </c>
      <c r="F20" s="367">
        <v>57.930500000000002</v>
      </c>
      <c r="G20" s="367">
        <v>69.842500000000001</v>
      </c>
      <c r="H20" s="367">
        <v>400</v>
      </c>
      <c r="I20" s="367">
        <v>297</v>
      </c>
      <c r="J20" s="367" t="s">
        <v>430</v>
      </c>
      <c r="K20" s="367">
        <v>501.76499999999999</v>
      </c>
      <c r="L20" s="367" t="s">
        <v>430</v>
      </c>
      <c r="M20" s="367">
        <v>201.714</v>
      </c>
      <c r="N20" s="367">
        <v>253</v>
      </c>
      <c r="O20" s="367">
        <v>634.37800000000004</v>
      </c>
      <c r="P20" s="367">
        <v>628.54300000000001</v>
      </c>
      <c r="Q20" s="367">
        <v>374.25200000000001</v>
      </c>
      <c r="R20" s="367">
        <v>697.93600000000004</v>
      </c>
      <c r="S20" s="367">
        <v>25.485399999999998</v>
      </c>
      <c r="T20" s="367">
        <v>14.5121</v>
      </c>
      <c r="U20" s="367">
        <v>24.62</v>
      </c>
      <c r="V20" s="313"/>
      <c r="X20" s="313"/>
    </row>
    <row r="21" spans="1:24" s="211" customFormat="1" ht="11.45" customHeight="1">
      <c r="A21" s="853" t="s">
        <v>739</v>
      </c>
      <c r="B21" s="325">
        <v>1178.6300000000001</v>
      </c>
      <c r="C21" s="325">
        <v>64.408900000000003</v>
      </c>
      <c r="D21" s="325">
        <v>56.940899999999999</v>
      </c>
      <c r="E21" s="325">
        <v>54.909100000000002</v>
      </c>
      <c r="F21" s="325">
        <v>55.791400000000003</v>
      </c>
      <c r="G21" s="325">
        <v>69.3523</v>
      </c>
      <c r="H21" s="325">
        <v>400</v>
      </c>
      <c r="I21" s="325">
        <v>271</v>
      </c>
      <c r="J21" s="325" t="s">
        <v>430</v>
      </c>
      <c r="K21" s="325">
        <v>503.84899999999999</v>
      </c>
      <c r="L21" s="325" t="s">
        <v>430</v>
      </c>
      <c r="M21" s="325">
        <v>202.679</v>
      </c>
      <c r="N21" s="325">
        <v>250.4</v>
      </c>
      <c r="O21" s="325">
        <v>607.65499999999997</v>
      </c>
      <c r="P21" s="325">
        <v>615.98599999999999</v>
      </c>
      <c r="Q21" s="325">
        <v>364.86</v>
      </c>
      <c r="R21" s="325">
        <v>683.43200000000002</v>
      </c>
      <c r="S21" s="325">
        <v>24.9069</v>
      </c>
      <c r="T21" s="325">
        <v>12.8409</v>
      </c>
      <c r="U21" s="325">
        <v>24.4</v>
      </c>
      <c r="V21" s="313"/>
      <c r="X21" s="313"/>
    </row>
    <row r="22" spans="1:24" s="211" customFormat="1" ht="11.45" customHeight="1">
      <c r="A22" s="854" t="s">
        <v>748</v>
      </c>
      <c r="B22" s="367">
        <v>1198.93</v>
      </c>
      <c r="C22" s="367">
        <v>61.943899999999999</v>
      </c>
      <c r="D22" s="367">
        <v>51.15</v>
      </c>
      <c r="E22" s="367">
        <v>58.665500000000002</v>
      </c>
      <c r="F22" s="367">
        <v>59.389499999999998</v>
      </c>
      <c r="G22" s="367">
        <v>71.702500000000001</v>
      </c>
      <c r="H22" s="367">
        <v>380</v>
      </c>
      <c r="I22" s="367">
        <v>259</v>
      </c>
      <c r="J22" s="367" t="s">
        <v>430</v>
      </c>
      <c r="K22" s="367">
        <v>504.22399999999999</v>
      </c>
      <c r="L22" s="367" t="s">
        <v>430</v>
      </c>
      <c r="M22" s="367">
        <v>195.89599999999999</v>
      </c>
      <c r="N22" s="367">
        <v>234.3</v>
      </c>
      <c r="O22" s="367">
        <v>591.78800000000001</v>
      </c>
      <c r="P22" s="367">
        <v>604.04200000000003</v>
      </c>
      <c r="Q22" s="367">
        <v>349.71100000000001</v>
      </c>
      <c r="R22" s="367">
        <v>691.673</v>
      </c>
      <c r="S22" s="367">
        <v>24.853300000000001</v>
      </c>
      <c r="T22" s="367">
        <v>12.911</v>
      </c>
      <c r="U22" s="367">
        <v>24.39</v>
      </c>
      <c r="V22" s="313"/>
      <c r="X22" s="313"/>
    </row>
    <row r="23" spans="1:24" s="211" customFormat="1" ht="11.45" customHeight="1">
      <c r="A23" s="853" t="s">
        <v>749</v>
      </c>
      <c r="B23" s="325">
        <v>1198.6300000000001</v>
      </c>
      <c r="C23" s="325">
        <v>64.711500000000001</v>
      </c>
      <c r="D23" s="325">
        <v>60.2333</v>
      </c>
      <c r="E23" s="325">
        <v>63.674799999999998</v>
      </c>
      <c r="F23" s="325">
        <v>64.561400000000006</v>
      </c>
      <c r="G23" s="325">
        <v>72.863200000000006</v>
      </c>
      <c r="H23" s="325">
        <v>380</v>
      </c>
      <c r="I23" s="325">
        <v>280</v>
      </c>
      <c r="J23" s="325" t="s">
        <v>430</v>
      </c>
      <c r="K23" s="325">
        <v>444.74299999999999</v>
      </c>
      <c r="L23" s="325" t="s">
        <v>430</v>
      </c>
      <c r="M23" s="325">
        <v>193.15199999999999</v>
      </c>
      <c r="N23" s="325">
        <v>234.5</v>
      </c>
      <c r="O23" s="325">
        <v>601.39700000000005</v>
      </c>
      <c r="P23" s="325">
        <v>595.471</v>
      </c>
      <c r="Q23" s="325">
        <v>340.471</v>
      </c>
      <c r="R23" s="325">
        <v>716.49</v>
      </c>
      <c r="S23" s="325">
        <v>25.732500000000002</v>
      </c>
      <c r="T23" s="325">
        <v>12.7035</v>
      </c>
      <c r="U23" s="325">
        <v>24.72</v>
      </c>
      <c r="V23" s="313"/>
      <c r="X23" s="313"/>
    </row>
    <row r="24" spans="1:24" s="211" customFormat="1" ht="11.45" customHeight="1">
      <c r="A24" s="854" t="s">
        <v>740</v>
      </c>
      <c r="B24" s="367">
        <v>1181.5</v>
      </c>
      <c r="C24" s="367">
        <v>63.043799999999997</v>
      </c>
      <c r="D24" s="367">
        <v>62.2864</v>
      </c>
      <c r="E24" s="367">
        <v>61.758600000000001</v>
      </c>
      <c r="F24" s="367">
        <v>62.3459</v>
      </c>
      <c r="G24" s="367">
        <v>72.3523</v>
      </c>
      <c r="H24" s="367">
        <v>380</v>
      </c>
      <c r="I24" s="367">
        <v>292</v>
      </c>
      <c r="J24" s="367" t="s">
        <v>430</v>
      </c>
      <c r="K24" s="367">
        <v>466.17599999999999</v>
      </c>
      <c r="L24" s="367" t="s">
        <v>430</v>
      </c>
      <c r="M24" s="367">
        <v>199.82300000000001</v>
      </c>
      <c r="N24" s="367">
        <v>233.4</v>
      </c>
      <c r="O24" s="367">
        <v>606.404</v>
      </c>
      <c r="P24" s="367">
        <v>593.16099999999994</v>
      </c>
      <c r="Q24" s="367">
        <v>353.90199999999999</v>
      </c>
      <c r="R24" s="367">
        <v>738.03700000000003</v>
      </c>
      <c r="S24" s="367">
        <v>25.865200000000002</v>
      </c>
      <c r="T24" s="367">
        <v>12.1136</v>
      </c>
      <c r="U24" s="367">
        <v>24.76</v>
      </c>
      <c r="V24" s="313"/>
      <c r="X24" s="313"/>
    </row>
    <row r="25" spans="1:24" s="211" customFormat="1" ht="11.45" customHeight="1">
      <c r="A25" s="853" t="s">
        <v>742</v>
      </c>
      <c r="B25" s="325">
        <v>1128.31</v>
      </c>
      <c r="C25" s="325">
        <v>63.353999999999999</v>
      </c>
      <c r="D25" s="325">
        <v>51.504300000000001</v>
      </c>
      <c r="E25" s="325">
        <v>56.266100000000002</v>
      </c>
      <c r="F25" s="325">
        <v>55.865699999999997</v>
      </c>
      <c r="G25" s="325">
        <v>72.347800000000007</v>
      </c>
      <c r="H25" s="325">
        <v>380</v>
      </c>
      <c r="I25" s="325">
        <v>273</v>
      </c>
      <c r="J25" s="325" t="s">
        <v>430</v>
      </c>
      <c r="K25" s="325">
        <v>460.57799999999997</v>
      </c>
      <c r="L25" s="325" t="s">
        <v>430</v>
      </c>
      <c r="M25" s="325">
        <v>199.197</v>
      </c>
      <c r="N25" s="325">
        <v>225.6</v>
      </c>
      <c r="O25" s="325">
        <v>575.68200000000002</v>
      </c>
      <c r="P25" s="325">
        <v>587.58799999999997</v>
      </c>
      <c r="Q25" s="325">
        <v>394.642</v>
      </c>
      <c r="R25" s="325">
        <v>695.78800000000001</v>
      </c>
      <c r="S25" s="325">
        <v>25.8688</v>
      </c>
      <c r="T25" s="325">
        <v>11.8786</v>
      </c>
      <c r="U25" s="325">
        <v>24.67</v>
      </c>
      <c r="V25" s="313"/>
      <c r="X25" s="313"/>
    </row>
    <row r="26" spans="1:24" s="211" customFormat="1" ht="11.45" customHeight="1">
      <c r="A26" s="854" t="s">
        <v>743</v>
      </c>
      <c r="B26" s="367">
        <v>1117.93</v>
      </c>
      <c r="C26" s="367">
        <v>62.7562</v>
      </c>
      <c r="D26" s="367">
        <v>55.381</v>
      </c>
      <c r="E26" s="367">
        <v>47.3033</v>
      </c>
      <c r="F26" s="367">
        <v>46.994300000000003</v>
      </c>
      <c r="G26" s="367">
        <v>71.822500000000005</v>
      </c>
      <c r="H26" s="367">
        <v>380</v>
      </c>
      <c r="I26" s="367">
        <v>273</v>
      </c>
      <c r="J26" s="367" t="s">
        <v>430</v>
      </c>
      <c r="K26" s="367">
        <v>451.36</v>
      </c>
      <c r="L26" s="367" t="s">
        <v>430</v>
      </c>
      <c r="M26" s="367">
        <v>173.46899999999999</v>
      </c>
      <c r="N26" s="367">
        <v>230.2</v>
      </c>
      <c r="O26" s="367">
        <v>484.678</v>
      </c>
      <c r="P26" s="367">
        <v>538.529</v>
      </c>
      <c r="Q26" s="367">
        <v>370.40800000000002</v>
      </c>
      <c r="R26" s="367">
        <v>628.74699999999996</v>
      </c>
      <c r="S26" s="367">
        <v>25.947700000000001</v>
      </c>
      <c r="T26" s="367">
        <v>10.674799999999999</v>
      </c>
      <c r="U26" s="367">
        <v>24.5</v>
      </c>
      <c r="V26" s="313"/>
      <c r="X26" s="313"/>
    </row>
    <row r="27" spans="1:24" s="211" customFormat="1" ht="11.45" customHeight="1">
      <c r="A27" s="853" t="s">
        <v>737</v>
      </c>
      <c r="B27" s="325">
        <v>1124.77</v>
      </c>
      <c r="C27" s="325">
        <v>58.655799999999999</v>
      </c>
      <c r="D27" s="325">
        <v>56.431800000000003</v>
      </c>
      <c r="E27" s="325">
        <v>46.144500000000001</v>
      </c>
      <c r="F27" s="325">
        <v>47.234499999999997</v>
      </c>
      <c r="G27" s="325">
        <v>68.736400000000003</v>
      </c>
      <c r="H27" s="325">
        <v>380</v>
      </c>
      <c r="I27" s="325">
        <v>259</v>
      </c>
      <c r="J27" s="325"/>
      <c r="K27" s="325">
        <v>458.15699999999998</v>
      </c>
      <c r="L27" s="325" t="s">
        <v>430</v>
      </c>
      <c r="M27" s="325">
        <v>163.827</v>
      </c>
      <c r="N27" s="325">
        <v>229.7</v>
      </c>
      <c r="O27" s="325">
        <v>483.48700000000002</v>
      </c>
      <c r="P27" s="325">
        <v>561.08100000000002</v>
      </c>
      <c r="Q27" s="325">
        <v>342.95499999999998</v>
      </c>
      <c r="R27" s="325">
        <v>590.25</v>
      </c>
      <c r="S27" s="325">
        <v>25.535799999999998</v>
      </c>
      <c r="T27" s="325">
        <v>12.1371</v>
      </c>
      <c r="U27" s="325">
        <v>24.434799999999999</v>
      </c>
      <c r="V27" s="313"/>
      <c r="X27" s="313"/>
    </row>
    <row r="28" spans="1:24" s="211" customFormat="1" ht="11.45" customHeight="1">
      <c r="A28" s="854" t="s">
        <v>744</v>
      </c>
      <c r="B28" s="367">
        <v>1159.25</v>
      </c>
      <c r="C28" s="367">
        <v>56.0503</v>
      </c>
      <c r="D28" s="367">
        <v>52.740900000000003</v>
      </c>
      <c r="E28" s="367">
        <v>46.5518</v>
      </c>
      <c r="F28" s="367">
        <v>48.124099999999999</v>
      </c>
      <c r="G28" s="367">
        <v>69.027299999999997</v>
      </c>
      <c r="H28" s="367">
        <v>380</v>
      </c>
      <c r="I28" s="367">
        <v>255</v>
      </c>
      <c r="J28" s="367" t="s">
        <v>430</v>
      </c>
      <c r="K28" s="367">
        <v>405.63600000000002</v>
      </c>
      <c r="L28" s="367" t="s">
        <v>430</v>
      </c>
      <c r="M28" s="367">
        <v>165.38800000000001</v>
      </c>
      <c r="N28" s="367">
        <v>226</v>
      </c>
      <c r="O28" s="367">
        <v>530.24699999999996</v>
      </c>
      <c r="P28" s="367" t="s">
        <v>430</v>
      </c>
      <c r="Q28" s="367">
        <v>338.214</v>
      </c>
      <c r="R28" s="367">
        <v>623.80700000000002</v>
      </c>
      <c r="S28" s="367">
        <v>25.5</v>
      </c>
      <c r="T28" s="367">
        <v>14.1418</v>
      </c>
      <c r="U28" s="367">
        <v>25.0382</v>
      </c>
      <c r="V28" s="313"/>
      <c r="X28" s="313"/>
    </row>
    <row r="29" spans="1:24" s="211" customFormat="1" ht="11.45" customHeight="1">
      <c r="A29" s="853" t="s">
        <v>745</v>
      </c>
      <c r="B29" s="325">
        <v>1086.44</v>
      </c>
      <c r="C29" s="325">
        <v>56.326500000000003</v>
      </c>
      <c r="D29" s="325">
        <v>46.161900000000003</v>
      </c>
      <c r="E29" s="325">
        <v>42.323300000000003</v>
      </c>
      <c r="F29" s="325">
        <v>44.417099999999998</v>
      </c>
      <c r="G29" s="325">
        <v>69.221400000000003</v>
      </c>
      <c r="H29" s="325">
        <v>380</v>
      </c>
      <c r="I29" s="325">
        <v>257</v>
      </c>
      <c r="J29" s="325" t="s">
        <v>430</v>
      </c>
      <c r="K29" s="325">
        <v>460.50099999999998</v>
      </c>
      <c r="L29" s="325" t="s">
        <v>430</v>
      </c>
      <c r="M29" s="325">
        <v>157.74199999999999</v>
      </c>
      <c r="N29" s="325">
        <v>229.7</v>
      </c>
      <c r="O29" s="325">
        <v>503.16399999999999</v>
      </c>
      <c r="P29" s="325" t="s">
        <v>430</v>
      </c>
      <c r="Q29" s="325">
        <v>320.34300000000002</v>
      </c>
      <c r="R29" s="325">
        <v>614.73599999999999</v>
      </c>
      <c r="S29" s="325">
        <v>25.2958</v>
      </c>
      <c r="T29" s="325">
        <v>14.888</v>
      </c>
      <c r="U29" s="325">
        <v>25.606000000000002</v>
      </c>
      <c r="V29" s="313"/>
      <c r="X29" s="313"/>
    </row>
    <row r="30" spans="1:24" s="211" customFormat="1" ht="11.45" customHeight="1">
      <c r="A30" s="854" t="s">
        <v>738</v>
      </c>
      <c r="B30" s="367">
        <v>1075.74</v>
      </c>
      <c r="C30" s="367">
        <v>55.850900000000003</v>
      </c>
      <c r="D30" s="367">
        <v>39.604300000000002</v>
      </c>
      <c r="E30" s="367">
        <v>34.702599999999997</v>
      </c>
      <c r="F30" s="367">
        <v>37.721699999999998</v>
      </c>
      <c r="G30" s="367">
        <v>70.388099999999994</v>
      </c>
      <c r="H30" s="367">
        <v>380</v>
      </c>
      <c r="I30" s="367">
        <v>239.833</v>
      </c>
      <c r="J30" s="367" t="s">
        <v>430</v>
      </c>
      <c r="K30" s="367">
        <v>435.565</v>
      </c>
      <c r="L30" s="367" t="s">
        <v>430</v>
      </c>
      <c r="M30" s="367">
        <v>163.79300000000001</v>
      </c>
      <c r="N30" s="367">
        <v>226</v>
      </c>
      <c r="O30" s="367">
        <v>520.60299999999995</v>
      </c>
      <c r="P30" s="367" t="s">
        <v>430</v>
      </c>
      <c r="Q30" s="367">
        <v>303.86200000000002</v>
      </c>
      <c r="R30" s="367">
        <v>677.19899999999996</v>
      </c>
      <c r="S30" s="367">
        <v>24.925699999999999</v>
      </c>
      <c r="T30" s="367">
        <v>15</v>
      </c>
      <c r="U30" s="367">
        <v>25.8309</v>
      </c>
      <c r="V30" s="313"/>
      <c r="X30" s="313"/>
    </row>
    <row r="31" spans="1:24" s="211" customFormat="1" ht="11.45" customHeight="1">
      <c r="A31" s="541">
        <v>2016</v>
      </c>
      <c r="B31" s="185">
        <f>AVERAGE(B32:B43)</f>
        <v>1249.0091666666669</v>
      </c>
      <c r="C31" s="185">
        <f t="shared" ref="C31:U31" si="1">AVERAGE(C32:C43)</f>
        <v>70.595974999999996</v>
      </c>
      <c r="D31" s="185">
        <f t="shared" si="1"/>
        <v>57.927608333333332</v>
      </c>
      <c r="E31" s="185">
        <f t="shared" si="1"/>
        <v>41.239341666666668</v>
      </c>
      <c r="F31" s="185">
        <f t="shared" si="1"/>
        <v>44.043283333333328</v>
      </c>
      <c r="G31" s="185">
        <f t="shared" si="1"/>
        <v>74.221424999999996</v>
      </c>
      <c r="H31" s="185">
        <f t="shared" si="1"/>
        <v>290.5</v>
      </c>
      <c r="I31" s="185">
        <f t="shared" si="1"/>
        <v>199.25</v>
      </c>
      <c r="J31" s="185" t="s">
        <v>430</v>
      </c>
      <c r="K31" s="185">
        <f t="shared" si="1"/>
        <v>447.19941666666676</v>
      </c>
      <c r="L31" s="185" t="s">
        <v>430</v>
      </c>
      <c r="M31" s="185">
        <f t="shared" si="1"/>
        <v>143.15049999999999</v>
      </c>
      <c r="N31" s="185" t="s">
        <v>430</v>
      </c>
      <c r="O31" s="185">
        <f t="shared" si="1"/>
        <v>639.91374999999994</v>
      </c>
      <c r="P31" s="185">
        <f t="shared" si="1"/>
        <v>678.02857142857158</v>
      </c>
      <c r="Q31" s="185">
        <f t="shared" si="1"/>
        <v>350.16058333333331</v>
      </c>
      <c r="R31" s="185">
        <f t="shared" si="1"/>
        <v>721.16600000000005</v>
      </c>
      <c r="S31" s="185">
        <f t="shared" si="1"/>
        <v>22.537283333333335</v>
      </c>
      <c r="T31" s="185">
        <f t="shared" si="1"/>
        <v>18.252850000000002</v>
      </c>
      <c r="U31" s="185">
        <f t="shared" si="1"/>
        <v>27.479150000000004</v>
      </c>
      <c r="V31" s="313"/>
    </row>
    <row r="32" spans="1:24" s="211" customFormat="1" ht="11.45" customHeight="1">
      <c r="A32" s="854" t="s">
        <v>746</v>
      </c>
      <c r="B32" s="367">
        <v>1097.9100000000001</v>
      </c>
      <c r="C32" s="367">
        <v>53.373899999999999</v>
      </c>
      <c r="D32" s="367">
        <v>41.252400000000002</v>
      </c>
      <c r="E32" s="367">
        <v>27.246700000000001</v>
      </c>
      <c r="F32" s="367">
        <v>30.8033</v>
      </c>
      <c r="G32" s="367">
        <v>68.75</v>
      </c>
      <c r="H32" s="367">
        <v>380</v>
      </c>
      <c r="I32" s="367">
        <v>214</v>
      </c>
      <c r="J32" s="367" t="s">
        <v>430</v>
      </c>
      <c r="K32" s="367">
        <v>419.29700000000003</v>
      </c>
      <c r="L32" s="367" t="s">
        <v>430</v>
      </c>
      <c r="M32" s="367">
        <v>164.55799999999999</v>
      </c>
      <c r="N32" s="367" t="s">
        <v>430</v>
      </c>
      <c r="O32" s="367">
        <v>531.61900000000003</v>
      </c>
      <c r="P32" s="367" t="s">
        <v>430</v>
      </c>
      <c r="Q32" s="367">
        <v>297.17700000000002</v>
      </c>
      <c r="R32" s="367">
        <v>659.90099999999995</v>
      </c>
      <c r="S32" s="367">
        <v>23.9497</v>
      </c>
      <c r="T32" s="367">
        <v>14.2911</v>
      </c>
      <c r="U32" s="367">
        <v>25.831600000000002</v>
      </c>
      <c r="V32" s="313"/>
      <c r="X32" s="313"/>
    </row>
    <row r="33" spans="1:24" s="211" customFormat="1" ht="12" customHeight="1">
      <c r="A33" s="853" t="s">
        <v>747</v>
      </c>
      <c r="B33" s="325">
        <v>1199.5</v>
      </c>
      <c r="C33" s="325">
        <v>54.329500000000003</v>
      </c>
      <c r="D33" s="325">
        <v>46.176200000000001</v>
      </c>
      <c r="E33" s="325">
        <v>29.614799999999999</v>
      </c>
      <c r="F33" s="325">
        <v>33.198099999999997</v>
      </c>
      <c r="G33" s="325">
        <v>66.571399999999997</v>
      </c>
      <c r="H33" s="325">
        <v>329</v>
      </c>
      <c r="I33" s="325">
        <v>209</v>
      </c>
      <c r="J33" s="325" t="s">
        <v>430</v>
      </c>
      <c r="K33" s="325">
        <v>448.315</v>
      </c>
      <c r="L33" s="325" t="s">
        <v>430</v>
      </c>
      <c r="M33" s="325">
        <v>159.25200000000001</v>
      </c>
      <c r="N33" s="325" t="s">
        <v>430</v>
      </c>
      <c r="O33" s="325">
        <v>595.90099999999995</v>
      </c>
      <c r="P33" s="325" t="s">
        <v>430</v>
      </c>
      <c r="Q33" s="325">
        <v>291.36799999999999</v>
      </c>
      <c r="R33" s="325">
        <v>686.904</v>
      </c>
      <c r="S33" s="325">
        <v>23.770800000000001</v>
      </c>
      <c r="T33" s="325">
        <v>13.2905</v>
      </c>
      <c r="U33" s="325">
        <v>25.4985</v>
      </c>
      <c r="V33" s="313"/>
      <c r="X33" s="313"/>
    </row>
    <row r="34" spans="1:24" s="211" customFormat="1" ht="11.45" customHeight="1">
      <c r="A34" s="854" t="s">
        <v>739</v>
      </c>
      <c r="B34" s="367">
        <v>1245.1400000000001</v>
      </c>
      <c r="C34" s="367">
        <v>55.917900000000003</v>
      </c>
      <c r="D34" s="367">
        <v>55.521700000000003</v>
      </c>
      <c r="E34" s="367">
        <v>35.173000000000002</v>
      </c>
      <c r="F34" s="367">
        <v>39.070900000000002</v>
      </c>
      <c r="G34" s="367">
        <v>65.457099999999997</v>
      </c>
      <c r="H34" s="367">
        <v>275</v>
      </c>
      <c r="I34" s="367">
        <v>203</v>
      </c>
      <c r="J34" s="367" t="s">
        <v>430</v>
      </c>
      <c r="K34" s="367">
        <v>434.28100000000001</v>
      </c>
      <c r="L34" s="367" t="s">
        <v>430</v>
      </c>
      <c r="M34" s="367">
        <v>164.03100000000001</v>
      </c>
      <c r="N34" s="367" t="s">
        <v>430</v>
      </c>
      <c r="O34" s="367">
        <v>633.06799999999998</v>
      </c>
      <c r="P34" s="367" t="s">
        <v>430</v>
      </c>
      <c r="Q34" s="367">
        <v>296.18099999999998</v>
      </c>
      <c r="R34" s="367">
        <v>713.85599999999999</v>
      </c>
      <c r="S34" s="367">
        <v>23.656700000000001</v>
      </c>
      <c r="T34" s="367">
        <v>15.435</v>
      </c>
      <c r="U34" s="367">
        <v>26.316800000000001</v>
      </c>
      <c r="V34" s="313"/>
      <c r="X34" s="313"/>
    </row>
    <row r="35" spans="1:24" s="211" customFormat="1" ht="11.45" customHeight="1">
      <c r="A35" s="853" t="s">
        <v>748</v>
      </c>
      <c r="B35" s="325">
        <v>1242.26</v>
      </c>
      <c r="C35" s="325">
        <v>54.830399999999997</v>
      </c>
      <c r="D35" s="325">
        <v>59.581000000000003</v>
      </c>
      <c r="E35" s="325">
        <v>39.037599999999998</v>
      </c>
      <c r="F35" s="325">
        <v>42.247100000000003</v>
      </c>
      <c r="G35" s="325">
        <v>69.278599999999997</v>
      </c>
      <c r="H35" s="325">
        <v>278</v>
      </c>
      <c r="I35" s="325">
        <v>204</v>
      </c>
      <c r="J35" s="325" t="s">
        <v>430</v>
      </c>
      <c r="K35" s="325">
        <v>441.2</v>
      </c>
      <c r="L35" s="325" t="s">
        <v>430</v>
      </c>
      <c r="M35" s="325">
        <v>163.36500000000001</v>
      </c>
      <c r="N35" s="325" t="s">
        <v>430</v>
      </c>
      <c r="O35" s="325">
        <v>681.077</v>
      </c>
      <c r="P35" s="325">
        <v>669.2</v>
      </c>
      <c r="Q35" s="325">
        <v>327.70100000000002</v>
      </c>
      <c r="R35" s="325">
        <v>748.53099999999995</v>
      </c>
      <c r="S35" s="325">
        <v>23.670200000000001</v>
      </c>
      <c r="T35" s="325">
        <v>15.217599999999999</v>
      </c>
      <c r="U35" s="325">
        <v>27.902899999999999</v>
      </c>
      <c r="V35" s="313"/>
      <c r="X35" s="313"/>
    </row>
    <row r="36" spans="1:24" s="211" customFormat="1" ht="11.45" customHeight="1">
      <c r="A36" s="854" t="s">
        <v>749</v>
      </c>
      <c r="B36" s="367">
        <v>1261</v>
      </c>
      <c r="C36" s="367">
        <v>55.2</v>
      </c>
      <c r="D36" s="367">
        <v>54.9</v>
      </c>
      <c r="E36" s="367">
        <v>44</v>
      </c>
      <c r="F36" s="367">
        <v>47.1</v>
      </c>
      <c r="G36" s="367">
        <v>70.3</v>
      </c>
      <c r="H36" s="367">
        <v>284</v>
      </c>
      <c r="I36" s="367">
        <v>200</v>
      </c>
      <c r="J36" s="367" t="s">
        <v>430</v>
      </c>
      <c r="K36" s="367">
        <v>448</v>
      </c>
      <c r="L36" s="367" t="s">
        <v>430</v>
      </c>
      <c r="M36" s="367">
        <v>157.5</v>
      </c>
      <c r="N36" s="367" t="s">
        <v>430</v>
      </c>
      <c r="O36" s="367">
        <v>644.6</v>
      </c>
      <c r="P36" s="367" t="s">
        <v>430</v>
      </c>
      <c r="Q36" s="367">
        <v>407.5</v>
      </c>
      <c r="R36" s="367">
        <v>707</v>
      </c>
      <c r="S36" s="367">
        <v>24.2</v>
      </c>
      <c r="T36" s="367">
        <v>16.7</v>
      </c>
      <c r="U36" s="367">
        <v>27.3</v>
      </c>
      <c r="V36" s="313"/>
    </row>
    <row r="37" spans="1:24" s="211" customFormat="1" ht="11.45" customHeight="1">
      <c r="A37" s="853" t="s">
        <v>740</v>
      </c>
      <c r="B37" s="325">
        <v>1276.4000000000001</v>
      </c>
      <c r="C37" s="325">
        <v>57</v>
      </c>
      <c r="D37" s="325">
        <v>51.4</v>
      </c>
      <c r="E37" s="325">
        <v>45.8</v>
      </c>
      <c r="F37" s="325">
        <v>48.5</v>
      </c>
      <c r="G37" s="325">
        <v>74.099999999999994</v>
      </c>
      <c r="H37" s="325">
        <v>285</v>
      </c>
      <c r="I37" s="325">
        <v>191</v>
      </c>
      <c r="J37" s="325" t="s">
        <v>430</v>
      </c>
      <c r="K37" s="325">
        <v>455.1</v>
      </c>
      <c r="L37" s="325" t="s">
        <v>430</v>
      </c>
      <c r="M37" s="325">
        <v>156.6</v>
      </c>
      <c r="N37" s="325" t="s">
        <v>430</v>
      </c>
      <c r="O37" s="325">
        <v>618.5</v>
      </c>
      <c r="P37" s="325" t="s">
        <v>430</v>
      </c>
      <c r="Q37" s="325">
        <v>443.4</v>
      </c>
      <c r="R37" s="325">
        <v>703.6</v>
      </c>
      <c r="S37" s="325">
        <v>23.6</v>
      </c>
      <c r="T37" s="325">
        <v>19.399999999999999</v>
      </c>
      <c r="U37" s="325">
        <v>27.4</v>
      </c>
      <c r="V37" s="313"/>
    </row>
    <row r="38" spans="1:24" s="211" customFormat="1" ht="11.45" customHeight="1">
      <c r="A38" s="854" t="s">
        <v>742</v>
      </c>
      <c r="B38" s="367">
        <v>1336.7</v>
      </c>
      <c r="C38" s="367">
        <v>66.7</v>
      </c>
      <c r="D38" s="367">
        <v>56.6</v>
      </c>
      <c r="E38" s="367">
        <v>42.7</v>
      </c>
      <c r="F38" s="367">
        <v>45.1</v>
      </c>
      <c r="G38" s="367">
        <v>81.099999999999994</v>
      </c>
      <c r="H38" s="367">
        <v>285</v>
      </c>
      <c r="I38" s="367">
        <v>177</v>
      </c>
      <c r="J38" s="367" t="s">
        <v>430</v>
      </c>
      <c r="K38" s="367">
        <v>506.3</v>
      </c>
      <c r="L38" s="367" t="s">
        <v>430</v>
      </c>
      <c r="M38" s="367">
        <v>133.6</v>
      </c>
      <c r="N38" s="367" t="s">
        <v>430</v>
      </c>
      <c r="O38" s="367">
        <v>584.20000000000005</v>
      </c>
      <c r="P38" s="367">
        <v>660.5</v>
      </c>
      <c r="Q38" s="367">
        <v>403.3</v>
      </c>
      <c r="R38" s="367">
        <v>669.9</v>
      </c>
      <c r="S38" s="367">
        <v>21.9</v>
      </c>
      <c r="T38" s="367">
        <v>19.7</v>
      </c>
      <c r="U38" s="367">
        <v>28.1</v>
      </c>
      <c r="V38" s="313"/>
    </row>
    <row r="39" spans="1:24" s="211" customFormat="1" ht="11.45" customHeight="1">
      <c r="A39" s="853" t="s">
        <v>743</v>
      </c>
      <c r="B39" s="325">
        <v>1340.2</v>
      </c>
      <c r="C39" s="325">
        <v>72.2</v>
      </c>
      <c r="D39" s="325">
        <v>60.5</v>
      </c>
      <c r="E39" s="325">
        <v>43.6</v>
      </c>
      <c r="F39" s="325">
        <v>46.1</v>
      </c>
      <c r="G39" s="325">
        <v>80.3</v>
      </c>
      <c r="H39" s="325">
        <v>283</v>
      </c>
      <c r="I39" s="325">
        <v>182</v>
      </c>
      <c r="J39" s="325" t="s">
        <v>430</v>
      </c>
      <c r="K39" s="325">
        <v>481.7</v>
      </c>
      <c r="L39" s="325" t="s">
        <v>430</v>
      </c>
      <c r="M39" s="325">
        <v>127.9</v>
      </c>
      <c r="N39" s="325" t="s">
        <v>430</v>
      </c>
      <c r="O39" s="325">
        <v>664.4</v>
      </c>
      <c r="P39" s="325">
        <v>644.20000000000005</v>
      </c>
      <c r="Q39" s="325">
        <v>364.5</v>
      </c>
      <c r="R39" s="325">
        <v>711.7</v>
      </c>
      <c r="S39" s="325">
        <v>21.8</v>
      </c>
      <c r="T39" s="325">
        <v>20.5</v>
      </c>
      <c r="U39" s="325">
        <v>27.2</v>
      </c>
      <c r="V39" s="313"/>
    </row>
    <row r="40" spans="1:24" s="211" customFormat="1" ht="11.45" customHeight="1">
      <c r="A40" s="854" t="s">
        <v>737</v>
      </c>
      <c r="B40" s="367">
        <v>1326.6</v>
      </c>
      <c r="C40" s="367">
        <v>78.099999999999994</v>
      </c>
      <c r="D40" s="367">
        <v>56.7</v>
      </c>
      <c r="E40" s="367">
        <v>43.8</v>
      </c>
      <c r="F40" s="367">
        <v>46.2</v>
      </c>
      <c r="G40" s="367">
        <v>77.900000000000006</v>
      </c>
      <c r="H40" s="367">
        <v>277</v>
      </c>
      <c r="I40" s="367">
        <v>191</v>
      </c>
      <c r="J40" s="367" t="s">
        <v>430</v>
      </c>
      <c r="K40" s="367">
        <v>446.9</v>
      </c>
      <c r="L40" s="367" t="s">
        <v>430</v>
      </c>
      <c r="M40" s="367">
        <v>123.2</v>
      </c>
      <c r="N40" s="367" t="s">
        <v>430</v>
      </c>
      <c r="O40" s="367">
        <v>692.4</v>
      </c>
      <c r="P40" s="367">
        <v>669.5</v>
      </c>
      <c r="Q40" s="367">
        <v>342.2</v>
      </c>
      <c r="R40" s="367">
        <v>722.6</v>
      </c>
      <c r="S40" s="367">
        <v>21.9</v>
      </c>
      <c r="T40" s="367">
        <v>21.9</v>
      </c>
      <c r="U40" s="367">
        <v>27.5</v>
      </c>
      <c r="V40" s="313"/>
    </row>
    <row r="41" spans="1:24" s="211" customFormat="1" ht="11.45" customHeight="1">
      <c r="A41" s="853" t="s">
        <v>744</v>
      </c>
      <c r="B41" s="325">
        <v>1266.5999999999999</v>
      </c>
      <c r="C41" s="325">
        <v>99.8</v>
      </c>
      <c r="D41" s="325">
        <v>59</v>
      </c>
      <c r="E41" s="325">
        <v>48.3</v>
      </c>
      <c r="F41" s="325">
        <v>49.7</v>
      </c>
      <c r="G41" s="325">
        <v>78.5</v>
      </c>
      <c r="H41" s="325">
        <v>273</v>
      </c>
      <c r="I41" s="325">
        <v>193</v>
      </c>
      <c r="J41" s="325" t="s">
        <v>430</v>
      </c>
      <c r="K41" s="325">
        <v>429.1</v>
      </c>
      <c r="L41" s="325" t="s">
        <v>430</v>
      </c>
      <c r="M41" s="325">
        <v>122.5</v>
      </c>
      <c r="N41" s="325" t="s">
        <v>430</v>
      </c>
      <c r="O41" s="325">
        <v>651.4</v>
      </c>
      <c r="P41" s="325">
        <v>705.9</v>
      </c>
      <c r="Q41" s="325">
        <v>337.1</v>
      </c>
      <c r="R41" s="325">
        <v>757.3</v>
      </c>
      <c r="S41" s="325">
        <v>20.5</v>
      </c>
      <c r="T41" s="325">
        <v>22.9</v>
      </c>
      <c r="U41" s="325">
        <v>28.6</v>
      </c>
      <c r="V41" s="313"/>
    </row>
    <row r="42" spans="1:24" s="211" customFormat="1" ht="10.5" customHeight="1">
      <c r="A42" s="854" t="s">
        <v>745</v>
      </c>
      <c r="B42" s="367">
        <v>1238.4000000000001</v>
      </c>
      <c r="C42" s="367">
        <v>107.2</v>
      </c>
      <c r="D42" s="367">
        <v>74.099999999999994</v>
      </c>
      <c r="E42" s="367">
        <v>43.8</v>
      </c>
      <c r="F42" s="367">
        <v>46.4</v>
      </c>
      <c r="G42" s="367">
        <v>78.900000000000006</v>
      </c>
      <c r="H42" s="367">
        <v>270</v>
      </c>
      <c r="I42" s="367">
        <v>211</v>
      </c>
      <c r="J42" s="367" t="s">
        <v>430</v>
      </c>
      <c r="K42" s="367">
        <v>440.6</v>
      </c>
      <c r="L42" s="367" t="s">
        <v>430</v>
      </c>
      <c r="M42" s="367">
        <v>122.5</v>
      </c>
      <c r="N42" s="367" t="s">
        <v>430</v>
      </c>
      <c r="O42" s="367">
        <v>670</v>
      </c>
      <c r="P42" s="367">
        <v>685.3</v>
      </c>
      <c r="Q42" s="367">
        <v>345.7</v>
      </c>
      <c r="R42" s="367">
        <v>772.4</v>
      </c>
      <c r="S42" s="367">
        <v>20.7</v>
      </c>
      <c r="T42" s="367">
        <v>20.9</v>
      </c>
      <c r="U42" s="367">
        <v>28.8</v>
      </c>
      <c r="V42" s="313"/>
    </row>
    <row r="43" spans="1:24" s="211" customFormat="1" ht="10.5" customHeight="1">
      <c r="A43" s="853" t="s">
        <v>738</v>
      </c>
      <c r="B43" s="325">
        <v>1157.4000000000001</v>
      </c>
      <c r="C43" s="325">
        <v>92.5</v>
      </c>
      <c r="D43" s="325">
        <v>79.400000000000006</v>
      </c>
      <c r="E43" s="325">
        <v>51.8</v>
      </c>
      <c r="F43" s="325">
        <v>54.1</v>
      </c>
      <c r="G43" s="325">
        <v>79.5</v>
      </c>
      <c r="H43" s="325">
        <v>267</v>
      </c>
      <c r="I43" s="325">
        <v>216</v>
      </c>
      <c r="J43" s="325" t="s">
        <v>430</v>
      </c>
      <c r="K43" s="325">
        <v>415.6</v>
      </c>
      <c r="L43" s="325" t="s">
        <v>430</v>
      </c>
      <c r="M43" s="325">
        <v>122.8</v>
      </c>
      <c r="N43" s="325" t="s">
        <v>430</v>
      </c>
      <c r="O43" s="325">
        <v>711.8</v>
      </c>
      <c r="P43" s="325">
        <v>711.6</v>
      </c>
      <c r="Q43" s="325">
        <v>345.8</v>
      </c>
      <c r="R43" s="325">
        <v>800.3</v>
      </c>
      <c r="S43" s="325">
        <v>20.8</v>
      </c>
      <c r="T43" s="325">
        <v>18.8</v>
      </c>
      <c r="U43" s="325">
        <v>29.3</v>
      </c>
      <c r="V43" s="313"/>
    </row>
    <row r="44" spans="1:24" s="211" customFormat="1" ht="10.5" customHeight="1">
      <c r="A44" s="852">
        <v>2017</v>
      </c>
      <c r="B44" s="367"/>
      <c r="C44" s="367"/>
      <c r="D44" s="367"/>
      <c r="E44" s="367"/>
      <c r="F44" s="367"/>
      <c r="G44" s="367"/>
      <c r="H44" s="367"/>
      <c r="I44" s="367"/>
      <c r="J44" s="367"/>
      <c r="K44" s="367"/>
      <c r="L44" s="367"/>
      <c r="M44" s="367"/>
      <c r="N44" s="367"/>
      <c r="O44" s="367"/>
      <c r="P44" s="367"/>
      <c r="Q44" s="367"/>
      <c r="R44" s="367"/>
      <c r="S44" s="367"/>
      <c r="T44" s="367"/>
      <c r="U44" s="367"/>
      <c r="V44" s="313"/>
    </row>
    <row r="45" spans="1:24" s="211" customFormat="1" ht="11.45" customHeight="1">
      <c r="A45" s="870" t="s">
        <v>746</v>
      </c>
      <c r="B45" s="325">
        <v>1192.0999999999999</v>
      </c>
      <c r="C45" s="325">
        <v>89.7</v>
      </c>
      <c r="D45" s="325">
        <v>80.8</v>
      </c>
      <c r="E45" s="325">
        <v>53.4</v>
      </c>
      <c r="F45" s="325">
        <v>54.9</v>
      </c>
      <c r="G45" s="325">
        <v>82.3</v>
      </c>
      <c r="H45" s="325">
        <v>269</v>
      </c>
      <c r="I45" s="325">
        <v>241</v>
      </c>
      <c r="J45" s="325" t="s">
        <v>430</v>
      </c>
      <c r="K45" s="325">
        <v>422.5</v>
      </c>
      <c r="L45" s="325" t="s">
        <v>430</v>
      </c>
      <c r="M45" s="325">
        <v>137.1</v>
      </c>
      <c r="N45" s="325" t="s">
        <v>430</v>
      </c>
      <c r="O45" s="325">
        <v>726.5</v>
      </c>
      <c r="P45" s="325">
        <v>746.6</v>
      </c>
      <c r="Q45" s="325">
        <v>364.7</v>
      </c>
      <c r="R45" s="325">
        <v>771.9</v>
      </c>
      <c r="S45" s="325">
        <v>20.5</v>
      </c>
      <c r="T45" s="325">
        <v>20.5</v>
      </c>
      <c r="U45" s="325">
        <v>29</v>
      </c>
      <c r="V45" s="313"/>
    </row>
    <row r="46" spans="1:24" s="211" customFormat="1" ht="11.45" customHeight="1">
      <c r="A46" s="871" t="s">
        <v>747</v>
      </c>
      <c r="B46" s="367">
        <v>1234.2</v>
      </c>
      <c r="C46" s="367">
        <v>86.2</v>
      </c>
      <c r="D46" s="367">
        <v>88.8</v>
      </c>
      <c r="E46" s="367">
        <v>54.2</v>
      </c>
      <c r="F46" s="367">
        <v>55.5</v>
      </c>
      <c r="G46" s="367">
        <v>85.2</v>
      </c>
      <c r="H46" s="367">
        <v>270</v>
      </c>
      <c r="I46" s="367">
        <v>247</v>
      </c>
      <c r="J46" s="367" t="s">
        <v>430</v>
      </c>
      <c r="K46" s="367">
        <v>430.1</v>
      </c>
      <c r="L46" s="367" t="s">
        <v>430</v>
      </c>
      <c r="M46" s="367">
        <v>147.30000000000001</v>
      </c>
      <c r="N46" s="367" t="s">
        <v>430</v>
      </c>
      <c r="O46" s="367">
        <v>706.8</v>
      </c>
      <c r="P46" s="367">
        <v>761.4</v>
      </c>
      <c r="Q46" s="367">
        <v>371.4</v>
      </c>
      <c r="R46" s="367">
        <v>742.9</v>
      </c>
      <c r="S46" s="367">
        <v>20.8</v>
      </c>
      <c r="T46" s="367">
        <v>20.3</v>
      </c>
      <c r="U46" s="367">
        <v>30.4</v>
      </c>
      <c r="V46" s="313"/>
    </row>
    <row r="47" spans="1:24" s="211" customFormat="1" ht="11.45" customHeight="1">
      <c r="A47" s="870" t="s">
        <v>739</v>
      </c>
      <c r="B47" s="325">
        <v>1231.4000000000001</v>
      </c>
      <c r="C47" s="325">
        <v>86.3</v>
      </c>
      <c r="D47" s="325">
        <v>87.2</v>
      </c>
      <c r="E47" s="325">
        <v>51.2</v>
      </c>
      <c r="F47" s="325">
        <v>52</v>
      </c>
      <c r="G47" s="325">
        <v>86.8</v>
      </c>
      <c r="H47" s="325">
        <v>278</v>
      </c>
      <c r="I47" s="325">
        <v>234</v>
      </c>
      <c r="J47" s="325" t="s">
        <v>430</v>
      </c>
      <c r="K47" s="325">
        <v>424.6</v>
      </c>
      <c r="L47" s="325" t="s">
        <v>430</v>
      </c>
      <c r="M47" s="325">
        <v>146.4</v>
      </c>
      <c r="N47" s="325" t="s">
        <v>430</v>
      </c>
      <c r="O47" s="325">
        <v>663.3</v>
      </c>
      <c r="P47" s="325" t="s">
        <v>430</v>
      </c>
      <c r="Q47" s="325">
        <v>356.9</v>
      </c>
      <c r="R47" s="325">
        <v>723.4</v>
      </c>
      <c r="S47" s="325">
        <v>20.5</v>
      </c>
      <c r="T47" s="325">
        <v>18.100000000000001</v>
      </c>
      <c r="U47" s="325">
        <v>29.8</v>
      </c>
      <c r="V47" s="313"/>
    </row>
    <row r="48" spans="1:24" s="211" customFormat="1" ht="11.45" customHeight="1">
      <c r="A48" s="871" t="s">
        <v>748</v>
      </c>
      <c r="B48" s="367">
        <v>1266.9000000000001</v>
      </c>
      <c r="C48" s="367">
        <v>90.7</v>
      </c>
      <c r="D48" s="367">
        <v>70.400000000000006</v>
      </c>
      <c r="E48" s="367">
        <v>52.4</v>
      </c>
      <c r="F48" s="367">
        <v>53.1</v>
      </c>
      <c r="G48" s="367">
        <v>87</v>
      </c>
      <c r="H48" s="367">
        <v>276</v>
      </c>
      <c r="I48" s="367">
        <v>205</v>
      </c>
      <c r="J48" s="367" t="s">
        <v>430</v>
      </c>
      <c r="K48" s="367">
        <v>410.3</v>
      </c>
      <c r="L48" s="367" t="s">
        <v>430</v>
      </c>
      <c r="M48" s="367">
        <v>138.4</v>
      </c>
      <c r="N48" s="367" t="s">
        <v>430</v>
      </c>
      <c r="O48" s="367">
        <v>623.20000000000005</v>
      </c>
      <c r="P48" s="367" t="s">
        <v>430</v>
      </c>
      <c r="Q48" s="367">
        <v>342.6</v>
      </c>
      <c r="R48" s="367">
        <v>695.3</v>
      </c>
      <c r="S48" s="367">
        <v>21</v>
      </c>
      <c r="T48" s="367">
        <v>16.399999999999999</v>
      </c>
      <c r="U48" s="367">
        <v>28.7</v>
      </c>
      <c r="V48" s="313"/>
    </row>
    <row r="49" spans="1:23" s="211" customFormat="1" ht="11.45" customHeight="1" thickBot="1">
      <c r="A49" s="571" t="s">
        <v>749</v>
      </c>
      <c r="B49" s="955">
        <v>1246</v>
      </c>
      <c r="C49" s="955" t="s">
        <v>430</v>
      </c>
      <c r="D49" s="955">
        <v>61.6</v>
      </c>
      <c r="E49" s="955">
        <v>50.3</v>
      </c>
      <c r="F49" s="955">
        <v>50.9</v>
      </c>
      <c r="G49" s="955">
        <v>88.6</v>
      </c>
      <c r="H49" s="955">
        <v>273</v>
      </c>
      <c r="I49" s="955">
        <v>180</v>
      </c>
      <c r="J49" s="955" t="s">
        <v>430</v>
      </c>
      <c r="K49" s="955">
        <v>444.7</v>
      </c>
      <c r="L49" s="955" t="s">
        <v>430</v>
      </c>
      <c r="M49" s="955">
        <v>146.5</v>
      </c>
      <c r="N49" s="955" t="s">
        <v>430</v>
      </c>
      <c r="O49" s="955">
        <v>655.5</v>
      </c>
      <c r="P49" s="955" t="s">
        <v>430</v>
      </c>
      <c r="Q49" s="955">
        <v>341</v>
      </c>
      <c r="R49" s="955">
        <v>714.1</v>
      </c>
      <c r="S49" s="955">
        <v>21.5</v>
      </c>
      <c r="T49" s="955">
        <v>15.7</v>
      </c>
      <c r="U49" s="955">
        <v>28.4</v>
      </c>
      <c r="V49" s="313"/>
    </row>
    <row r="50" spans="1:23" ht="11.25" customHeight="1">
      <c r="A50" s="10" t="s">
        <v>945</v>
      </c>
      <c r="B50" s="2246" t="s">
        <v>182</v>
      </c>
      <c r="C50" s="2246"/>
      <c r="D50" s="2246"/>
      <c r="E50" s="2246"/>
      <c r="F50" s="2246"/>
      <c r="G50" s="2246"/>
      <c r="H50" s="34"/>
      <c r="I50" s="34"/>
      <c r="J50" s="34"/>
      <c r="R50" s="13"/>
      <c r="S50" s="13"/>
      <c r="T50" s="14"/>
      <c r="U50" s="34"/>
    </row>
    <row r="51" spans="1:23" s="14" customFormat="1" ht="9" customHeight="1">
      <c r="B51" s="2257" t="s">
        <v>183</v>
      </c>
      <c r="C51" s="2257"/>
      <c r="D51" s="2257"/>
      <c r="E51" s="2257"/>
      <c r="F51" s="2257"/>
      <c r="G51" s="2257"/>
      <c r="H51" s="2257"/>
      <c r="I51" s="861"/>
      <c r="J51" s="861"/>
      <c r="K51" s="10" t="s">
        <v>881</v>
      </c>
      <c r="L51" s="2251" t="s">
        <v>1654</v>
      </c>
      <c r="M51" s="2251"/>
      <c r="N51" s="2251"/>
      <c r="O51" s="2251"/>
      <c r="P51" s="2251"/>
      <c r="Q51" s="2251"/>
      <c r="S51" s="13"/>
      <c r="T51" s="13"/>
    </row>
    <row r="52" spans="1:23" s="14" customFormat="1" ht="10.5" customHeight="1">
      <c r="B52" s="2246" t="s">
        <v>1569</v>
      </c>
      <c r="C52" s="2246"/>
      <c r="F52" s="105"/>
      <c r="G52" s="176"/>
      <c r="K52" s="14" t="s">
        <v>1830</v>
      </c>
    </row>
    <row r="53" spans="1:23" s="14" customFormat="1" ht="8.25" customHeight="1">
      <c r="A53" s="39"/>
      <c r="F53" s="105"/>
      <c r="G53" s="105"/>
      <c r="I53" s="827"/>
    </row>
    <row r="54" spans="1:23">
      <c r="C54" s="105"/>
      <c r="D54" s="105"/>
      <c r="E54" s="105"/>
      <c r="F54" s="105"/>
      <c r="G54" s="105"/>
      <c r="H54" s="105"/>
      <c r="I54" s="827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827"/>
      <c r="V54" s="827"/>
      <c r="W54" s="105"/>
    </row>
    <row r="55" spans="1:23">
      <c r="C55" s="105"/>
      <c r="D55" s="105"/>
      <c r="E55" s="105"/>
      <c r="F55" s="105"/>
      <c r="G55" s="105"/>
      <c r="H55" s="105"/>
      <c r="I55" s="827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827"/>
      <c r="V55" s="827"/>
      <c r="W55" s="105"/>
    </row>
    <row r="56" spans="1:23">
      <c r="C56" s="105"/>
      <c r="D56" s="105"/>
      <c r="E56" s="105"/>
      <c r="F56" s="105"/>
      <c r="G56" s="105"/>
      <c r="H56" s="105"/>
      <c r="I56" s="827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827"/>
      <c r="V56" s="827"/>
      <c r="W56" s="105"/>
    </row>
    <row r="57" spans="1:23">
      <c r="C57" s="105"/>
      <c r="D57" s="105"/>
      <c r="E57" s="105"/>
      <c r="F57" s="105"/>
      <c r="G57" s="105"/>
      <c r="H57" s="105"/>
      <c r="I57" s="827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827"/>
      <c r="V57" s="827"/>
      <c r="W57" s="105"/>
    </row>
    <row r="58" spans="1:23">
      <c r="C58" s="105"/>
      <c r="D58" s="105"/>
      <c r="E58" s="105"/>
      <c r="F58" s="105"/>
      <c r="G58" s="105"/>
      <c r="H58" s="105"/>
      <c r="I58" s="827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827"/>
      <c r="V58" s="827"/>
      <c r="W58" s="105"/>
    </row>
    <row r="59" spans="1:23">
      <c r="C59" s="105"/>
      <c r="D59" s="105"/>
      <c r="E59" s="105"/>
      <c r="F59" s="105"/>
      <c r="G59" s="105"/>
      <c r="H59" s="105"/>
      <c r="I59" s="827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827"/>
      <c r="V59" s="827"/>
      <c r="W59" s="105"/>
    </row>
    <row r="60" spans="1:23">
      <c r="C60" s="105"/>
      <c r="D60" s="105"/>
      <c r="E60" s="105"/>
      <c r="F60" s="105"/>
      <c r="G60" s="105"/>
      <c r="H60" s="105"/>
      <c r="I60" s="827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827"/>
      <c r="V60" s="827"/>
      <c r="W60" s="105"/>
    </row>
    <row r="61" spans="1:23">
      <c r="C61" s="105"/>
      <c r="D61" s="105"/>
      <c r="E61" s="105"/>
      <c r="F61" s="105"/>
      <c r="G61" s="105"/>
      <c r="H61" s="105"/>
      <c r="I61" s="827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827"/>
      <c r="V61" s="827"/>
      <c r="W61" s="105"/>
    </row>
    <row r="62" spans="1:23">
      <c r="C62" s="105"/>
      <c r="D62" s="105"/>
      <c r="E62" s="105"/>
      <c r="F62" s="105"/>
      <c r="G62" s="105"/>
      <c r="H62" s="105"/>
      <c r="I62" s="827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827"/>
      <c r="V62" s="827"/>
      <c r="W62" s="105"/>
    </row>
    <row r="63" spans="1:23">
      <c r="C63" s="105"/>
      <c r="D63" s="105"/>
      <c r="E63" s="105"/>
      <c r="F63" s="105"/>
      <c r="G63" s="105"/>
      <c r="H63" s="105"/>
      <c r="I63" s="827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827"/>
      <c r="V63" s="827"/>
      <c r="W63" s="105"/>
    </row>
    <row r="64" spans="1:23">
      <c r="C64" s="105"/>
      <c r="D64" s="105"/>
      <c r="E64" s="105"/>
      <c r="F64" s="105"/>
      <c r="G64" s="105"/>
      <c r="H64" s="105"/>
      <c r="I64" s="827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827"/>
      <c r="V64" s="827"/>
      <c r="W64" s="105"/>
    </row>
    <row r="65" spans="3:23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827"/>
      <c r="V65" s="827"/>
      <c r="W65" s="105"/>
    </row>
    <row r="66" spans="3:23"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827"/>
      <c r="V66" s="14"/>
      <c r="W66" s="105"/>
    </row>
    <row r="67" spans="3:23">
      <c r="C67" s="105"/>
      <c r="D67" s="105"/>
      <c r="E67" s="105"/>
      <c r="F67" s="105"/>
      <c r="G67" s="105"/>
      <c r="H67" s="105"/>
      <c r="I67" s="828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827"/>
      <c r="V67" s="14"/>
      <c r="W67" s="105"/>
    </row>
    <row r="68" spans="3:23">
      <c r="C68" s="105"/>
      <c r="D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R68" s="105"/>
      <c r="S68" s="105"/>
      <c r="T68" s="105"/>
      <c r="U68" s="827"/>
      <c r="V68" s="14"/>
      <c r="W68" s="105"/>
    </row>
    <row r="69" spans="3:23">
      <c r="C69" s="105"/>
      <c r="D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R69" s="105"/>
      <c r="S69" s="105"/>
      <c r="T69" s="105"/>
      <c r="U69" s="827"/>
      <c r="V69" s="14"/>
      <c r="W69" s="105"/>
    </row>
    <row r="70" spans="3:23">
      <c r="D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S70" s="105"/>
      <c r="T70" s="105"/>
      <c r="U70" s="827"/>
      <c r="V70" s="14"/>
      <c r="W70" s="105"/>
    </row>
    <row r="71" spans="3:23">
      <c r="D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R71" s="105"/>
      <c r="S71" s="105"/>
      <c r="T71" s="105"/>
      <c r="U71" s="827"/>
      <c r="V71" s="14"/>
      <c r="W71" s="105"/>
    </row>
    <row r="72" spans="3:23"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827"/>
      <c r="V72" s="14"/>
      <c r="W72" s="105"/>
    </row>
    <row r="73" spans="3:23"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827"/>
      <c r="V73" s="14"/>
      <c r="W73" s="105"/>
    </row>
    <row r="74" spans="3:23"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827"/>
      <c r="V74" s="14"/>
      <c r="W74" s="105"/>
    </row>
    <row r="75" spans="3:23"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W75" s="105"/>
    </row>
    <row r="76" spans="3:23">
      <c r="J76" s="105"/>
      <c r="K76" s="105"/>
      <c r="M76" s="105"/>
      <c r="O76" s="105"/>
      <c r="P76" s="105"/>
      <c r="Q76" s="105"/>
      <c r="R76" s="105"/>
    </row>
  </sheetData>
  <mergeCells count="11">
    <mergeCell ref="B52:C52"/>
    <mergeCell ref="L51:Q51"/>
    <mergeCell ref="A1:J1"/>
    <mergeCell ref="K1:R1"/>
    <mergeCell ref="S2:U2"/>
    <mergeCell ref="E2:F2"/>
    <mergeCell ref="S1:U1"/>
    <mergeCell ref="B50:G50"/>
    <mergeCell ref="B51:H51"/>
    <mergeCell ref="O2:P2"/>
    <mergeCell ref="L2:N2"/>
  </mergeCells>
  <phoneticPr fontId="0" type="noConversion"/>
  <pageMargins left="0.62992125984252001" right="0.511811023622047" top="0.511811023622047" bottom="0.511811023622047" header="0" footer="0.39370078740157499"/>
  <pageSetup paperSize="448" firstPageNumber="100" orientation="portrait" useFirstPageNumber="1" r:id="rId1"/>
  <headerFooter alignWithMargins="0">
    <oddFooter>&amp;C&amp;"Times New Roman,Regular"&amp;8&amp;P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R68"/>
  <sheetViews>
    <sheetView zoomScale="150" zoomScaleNormal="150" workbookViewId="0">
      <pane xSplit="1" ySplit="5" topLeftCell="B48" activePane="bottomRight" state="frozen"/>
      <selection activeCell="F85" sqref="F85"/>
      <selection pane="topRight" activeCell="F85" sqref="F85"/>
      <selection pane="bottomLeft" activeCell="F85" sqref="F85"/>
      <selection pane="bottomRight" sqref="A1:I1"/>
    </sheetView>
  </sheetViews>
  <sheetFormatPr defaultColWidth="9.140625" defaultRowHeight="11.25"/>
  <cols>
    <col min="1" max="1" width="9.28515625" style="3" customWidth="1"/>
    <col min="2" max="2" width="9.140625" style="1"/>
    <col min="3" max="3" width="7.5703125" style="1" customWidth="1"/>
    <col min="4" max="4" width="9.28515625" style="1" customWidth="1"/>
    <col min="5" max="5" width="9.7109375" style="1" customWidth="1"/>
    <col min="6" max="6" width="9.28515625" style="1" customWidth="1"/>
    <col min="7" max="7" width="8.5703125" style="1" customWidth="1"/>
    <col min="8" max="8" width="8.42578125" style="1" customWidth="1"/>
    <col min="9" max="9" width="7.42578125" style="1" customWidth="1"/>
    <col min="10" max="10" width="10.85546875" style="1" customWidth="1"/>
    <col min="11" max="11" width="11.710937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140625" style="1" customWidth="1"/>
    <col min="16" max="16" width="10.85546875" style="3" customWidth="1"/>
    <col min="17" max="16384" width="9.140625" style="1"/>
  </cols>
  <sheetData>
    <row r="1" spans="1:18" s="96" customFormat="1" ht="12.75" customHeight="1">
      <c r="A1" s="2219" t="s">
        <v>269</v>
      </c>
      <c r="B1" s="2219"/>
      <c r="C1" s="2219"/>
      <c r="D1" s="2219"/>
      <c r="E1" s="2219"/>
      <c r="F1" s="2219"/>
      <c r="G1" s="2219"/>
      <c r="H1" s="2219"/>
      <c r="I1" s="2219"/>
      <c r="J1" s="2263" t="s">
        <v>1701</v>
      </c>
      <c r="K1" s="2263"/>
      <c r="L1" s="2263"/>
      <c r="M1" s="2263"/>
      <c r="N1" s="2263"/>
      <c r="O1" s="2261" t="s">
        <v>2058</v>
      </c>
      <c r="P1" s="2261"/>
    </row>
    <row r="2" spans="1:18" s="25" customFormat="1" ht="9.75" customHeight="1">
      <c r="O2" s="2264" t="s">
        <v>25</v>
      </c>
      <c r="P2" s="2264"/>
    </row>
    <row r="3" spans="1:18" s="95" customFormat="1" ht="13.5" customHeight="1">
      <c r="A3" s="2111" t="s">
        <v>663</v>
      </c>
      <c r="B3" s="2107" t="s">
        <v>268</v>
      </c>
      <c r="C3" s="2108"/>
      <c r="D3" s="2108"/>
      <c r="E3" s="2108"/>
      <c r="F3" s="2108"/>
      <c r="G3" s="2108"/>
      <c r="H3" s="2108"/>
      <c r="I3" s="2108"/>
      <c r="J3" s="2108"/>
      <c r="K3" s="2265"/>
      <c r="L3" s="2107" t="s">
        <v>783</v>
      </c>
      <c r="M3" s="2108"/>
      <c r="N3" s="2108"/>
      <c r="O3" s="2109"/>
      <c r="P3" s="2075" t="s">
        <v>663</v>
      </c>
    </row>
    <row r="4" spans="1:18" s="25" customFormat="1" ht="12.75" customHeight="1">
      <c r="A4" s="2111"/>
      <c r="B4" s="2262" t="s">
        <v>1025</v>
      </c>
      <c r="C4" s="2266" t="s">
        <v>418</v>
      </c>
      <c r="D4" s="2026" t="s">
        <v>1224</v>
      </c>
      <c r="E4" s="2026" t="s">
        <v>1026</v>
      </c>
      <c r="F4" s="2060" t="s">
        <v>721</v>
      </c>
      <c r="G4" s="2060"/>
      <c r="H4" s="2268" t="s">
        <v>723</v>
      </c>
      <c r="I4" s="2269"/>
      <c r="J4" s="2036" t="s">
        <v>1226</v>
      </c>
      <c r="K4" s="2026" t="s">
        <v>1227</v>
      </c>
      <c r="L4" s="2036" t="s">
        <v>1225</v>
      </c>
      <c r="M4" s="2036" t="s">
        <v>1228</v>
      </c>
      <c r="N4" s="2036" t="s">
        <v>784</v>
      </c>
      <c r="O4" s="2036" t="s">
        <v>724</v>
      </c>
      <c r="P4" s="2044"/>
    </row>
    <row r="5" spans="1:18" s="25" customFormat="1" ht="11.25" customHeight="1">
      <c r="A5" s="2111"/>
      <c r="B5" s="2262"/>
      <c r="C5" s="2267"/>
      <c r="D5" s="2020"/>
      <c r="E5" s="2020"/>
      <c r="F5" s="1458" t="s">
        <v>661</v>
      </c>
      <c r="G5" s="1458" t="s">
        <v>722</v>
      </c>
      <c r="H5" s="1458" t="s">
        <v>661</v>
      </c>
      <c r="I5" s="1458" t="s">
        <v>722</v>
      </c>
      <c r="J5" s="1875"/>
      <c r="K5" s="2020"/>
      <c r="L5" s="1875"/>
      <c r="M5" s="1875"/>
      <c r="N5" s="1875"/>
      <c r="O5" s="1875"/>
      <c r="P5" s="2045"/>
    </row>
    <row r="6" spans="1:18" s="9" customFormat="1" ht="12" customHeight="1">
      <c r="A6" s="1456" t="s">
        <v>83</v>
      </c>
      <c r="B6" s="17">
        <v>8997.119999999999</v>
      </c>
      <c r="C6" s="17" t="s">
        <v>430</v>
      </c>
      <c r="D6" s="17">
        <v>347.49000000000007</v>
      </c>
      <c r="E6" s="17">
        <v>17042.28</v>
      </c>
      <c r="F6" s="17">
        <v>13816.849999999999</v>
      </c>
      <c r="G6" s="17">
        <v>10651.220000000001</v>
      </c>
      <c r="H6" s="17">
        <v>7593.34</v>
      </c>
      <c r="I6" s="17">
        <v>3203.1299999999997</v>
      </c>
      <c r="J6" s="17">
        <v>390.73</v>
      </c>
      <c r="K6" s="17">
        <v>62042.159999999989</v>
      </c>
      <c r="L6" s="17">
        <v>357.61000000000007</v>
      </c>
      <c r="M6" s="17">
        <v>46.46</v>
      </c>
      <c r="N6" s="17">
        <v>342.97</v>
      </c>
      <c r="O6" s="17" t="s">
        <v>430</v>
      </c>
      <c r="P6" s="88" t="s">
        <v>83</v>
      </c>
    </row>
    <row r="7" spans="1:18" s="9" customFormat="1" ht="12" customHeight="1">
      <c r="A7" s="382" t="s">
        <v>225</v>
      </c>
      <c r="B7" s="372">
        <v>11574.13</v>
      </c>
      <c r="C7" s="372">
        <v>28.710000000000004</v>
      </c>
      <c r="D7" s="372">
        <v>486.18</v>
      </c>
      <c r="E7" s="372">
        <v>23007.520000000004</v>
      </c>
      <c r="F7" s="372">
        <v>17827.949999999997</v>
      </c>
      <c r="G7" s="372">
        <v>12375.810000000001</v>
      </c>
      <c r="H7" s="372">
        <v>9701.1600000000017</v>
      </c>
      <c r="I7" s="372">
        <v>3998.71</v>
      </c>
      <c r="J7" s="372">
        <v>402.94000000000005</v>
      </c>
      <c r="K7" s="372">
        <v>79403.11</v>
      </c>
      <c r="L7" s="372">
        <v>243.66</v>
      </c>
      <c r="M7" s="372">
        <v>57.26</v>
      </c>
      <c r="N7" s="372">
        <v>175.67000000000002</v>
      </c>
      <c r="O7" s="372">
        <v>1476.8200000000002</v>
      </c>
      <c r="P7" s="383" t="s">
        <v>225</v>
      </c>
    </row>
    <row r="8" spans="1:18" s="9" customFormat="1" ht="12" customHeight="1">
      <c r="A8" s="1465" t="s">
        <v>972</v>
      </c>
      <c r="B8" s="36">
        <v>13153.5</v>
      </c>
      <c r="C8" s="36">
        <v>38.950000000000003</v>
      </c>
      <c r="D8" s="36">
        <v>660.36</v>
      </c>
      <c r="E8" s="36">
        <v>28652.63</v>
      </c>
      <c r="F8" s="36">
        <v>21984.81</v>
      </c>
      <c r="G8" s="36">
        <v>13792.62</v>
      </c>
      <c r="H8" s="36">
        <v>11923.97</v>
      </c>
      <c r="I8" s="36">
        <v>4367.71</v>
      </c>
      <c r="J8" s="36">
        <v>484.44</v>
      </c>
      <c r="K8" s="36">
        <v>95058.99</v>
      </c>
      <c r="L8" s="36">
        <v>407.8</v>
      </c>
      <c r="M8" s="36">
        <v>64.63</v>
      </c>
      <c r="N8" s="36">
        <v>217.14</v>
      </c>
      <c r="O8" s="36">
        <v>2018.8599999999997</v>
      </c>
      <c r="P8" s="309" t="s">
        <v>972</v>
      </c>
      <c r="R8" s="206"/>
    </row>
    <row r="9" spans="1:18" s="9" customFormat="1" ht="12" customHeight="1">
      <c r="A9" s="382" t="s">
        <v>1107</v>
      </c>
      <c r="B9" s="372">
        <v>13322.45</v>
      </c>
      <c r="C9" s="372">
        <v>33.47</v>
      </c>
      <c r="D9" s="372">
        <v>772.53</v>
      </c>
      <c r="E9" s="372">
        <v>37120.65</v>
      </c>
      <c r="F9" s="372">
        <v>26367.260000000002</v>
      </c>
      <c r="G9" s="372">
        <v>14846.48</v>
      </c>
      <c r="H9" s="372">
        <v>11985.29</v>
      </c>
      <c r="I9" s="372">
        <v>4205.01</v>
      </c>
      <c r="J9" s="372">
        <v>498.59</v>
      </c>
      <c r="K9" s="372">
        <v>109151.73</v>
      </c>
      <c r="L9" s="372">
        <v>293.5</v>
      </c>
      <c r="M9" s="372">
        <v>75.7</v>
      </c>
      <c r="N9" s="372">
        <v>166.19</v>
      </c>
      <c r="O9" s="372">
        <v>2015.1900000000003</v>
      </c>
      <c r="P9" s="383" t="s">
        <v>1107</v>
      </c>
      <c r="R9" s="206"/>
    </row>
    <row r="10" spans="1:18" s="324" customFormat="1" ht="12" customHeight="1">
      <c r="A10" s="1463" t="s">
        <v>1347</v>
      </c>
      <c r="B10" s="36">
        <v>13650.83</v>
      </c>
      <c r="C10" s="36">
        <v>41.980000000000004</v>
      </c>
      <c r="D10" s="36">
        <v>822.39</v>
      </c>
      <c r="E10" s="36">
        <v>43207.27</v>
      </c>
      <c r="F10" s="36">
        <v>29252.109999999997</v>
      </c>
      <c r="G10" s="36">
        <v>15325.119999999999</v>
      </c>
      <c r="H10" s="36">
        <v>13647.190000000002</v>
      </c>
      <c r="I10" s="36">
        <v>4335.7699999999995</v>
      </c>
      <c r="J10" s="36">
        <v>643.71</v>
      </c>
      <c r="K10" s="36">
        <v>120819.84999999998</v>
      </c>
      <c r="L10" s="36">
        <v>424.8</v>
      </c>
      <c r="M10" s="36">
        <v>71.41</v>
      </c>
      <c r="N10" s="36">
        <v>219.57</v>
      </c>
      <c r="O10" s="36">
        <v>2214.5200000000004</v>
      </c>
      <c r="P10" s="327" t="s">
        <v>1347</v>
      </c>
      <c r="R10" s="325"/>
    </row>
    <row r="11" spans="1:18" s="324" customFormat="1" ht="12" customHeight="1">
      <c r="A11" s="1464" t="s">
        <v>1406</v>
      </c>
      <c r="B11" s="367">
        <v>15349.850000000002</v>
      </c>
      <c r="C11" s="367">
        <v>40.630000000000003</v>
      </c>
      <c r="D11" s="367">
        <v>960.37999999999988</v>
      </c>
      <c r="E11" s="367">
        <v>47477.399999999994</v>
      </c>
      <c r="F11" s="367">
        <v>32290.130000000005</v>
      </c>
      <c r="G11" s="367">
        <v>17690.469999999998</v>
      </c>
      <c r="H11" s="367">
        <v>15758.310000000001</v>
      </c>
      <c r="I11" s="367">
        <v>5252.42</v>
      </c>
      <c r="J11" s="367">
        <v>881.11</v>
      </c>
      <c r="K11" s="367">
        <v>135700.70000000001</v>
      </c>
      <c r="L11" s="372">
        <v>362.66</v>
      </c>
      <c r="M11" s="372">
        <v>86.53</v>
      </c>
      <c r="N11" s="372">
        <v>253.13</v>
      </c>
      <c r="O11" s="372">
        <v>2139.31</v>
      </c>
      <c r="P11" s="398" t="s">
        <v>1406</v>
      </c>
      <c r="R11" s="325"/>
    </row>
    <row r="12" spans="1:18" s="324" customFormat="1" ht="12" customHeight="1">
      <c r="A12" s="1463" t="s">
        <v>1560</v>
      </c>
      <c r="B12" s="325">
        <v>18016.580000000002</v>
      </c>
      <c r="C12" s="325">
        <v>32.749999999999993</v>
      </c>
      <c r="D12" s="325">
        <v>1582.0299999999997</v>
      </c>
      <c r="E12" s="325">
        <v>53235.45</v>
      </c>
      <c r="F12" s="325">
        <v>34862.82</v>
      </c>
      <c r="G12" s="325">
        <v>20583.86</v>
      </c>
      <c r="H12" s="325">
        <v>19630.96</v>
      </c>
      <c r="I12" s="325">
        <v>6560.2000000000007</v>
      </c>
      <c r="J12" s="325">
        <v>1014.0699999999999</v>
      </c>
      <c r="K12" s="325">
        <v>155518.71999999997</v>
      </c>
      <c r="L12" s="36">
        <v>432.78999999999996</v>
      </c>
      <c r="M12" s="36">
        <v>95.44</v>
      </c>
      <c r="N12" s="36">
        <v>195.29999999999998</v>
      </c>
      <c r="O12" s="36">
        <v>2279.71</v>
      </c>
      <c r="P12" s="327" t="s">
        <v>1560</v>
      </c>
      <c r="Q12" s="325"/>
    </row>
    <row r="13" spans="1:18" s="324" customFormat="1" ht="12" customHeight="1">
      <c r="A13" s="1464" t="s">
        <v>1596</v>
      </c>
      <c r="B13" s="367">
        <v>21069.19</v>
      </c>
      <c r="C13" s="367">
        <v>22.699999999999996</v>
      </c>
      <c r="D13" s="367">
        <v>1790.5100000000002</v>
      </c>
      <c r="E13" s="367">
        <v>52754.93</v>
      </c>
      <c r="F13" s="367">
        <v>38287.759999999995</v>
      </c>
      <c r="G13" s="367">
        <v>25561.09</v>
      </c>
      <c r="H13" s="367">
        <v>23481.699999999997</v>
      </c>
      <c r="I13" s="367">
        <v>7628.89</v>
      </c>
      <c r="J13" s="367">
        <v>1059.67</v>
      </c>
      <c r="K13" s="367">
        <v>171656.43999999997</v>
      </c>
      <c r="L13" s="372">
        <v>1684.0539999999999</v>
      </c>
      <c r="M13" s="372">
        <v>100.30000000000001</v>
      </c>
      <c r="N13" s="372">
        <v>374.15</v>
      </c>
      <c r="O13" s="372">
        <v>2470.79</v>
      </c>
      <c r="P13" s="398" t="s">
        <v>1596</v>
      </c>
      <c r="Q13" s="325"/>
    </row>
    <row r="14" spans="1:18" s="324" customFormat="1" ht="12" customHeight="1">
      <c r="A14" s="541" t="s">
        <v>1756</v>
      </c>
      <c r="B14" s="427">
        <v>24502.12</v>
      </c>
      <c r="C14" s="427">
        <v>35.769999999999996</v>
      </c>
      <c r="D14" s="427">
        <v>2080.3399999999997</v>
      </c>
      <c r="E14" s="427">
        <v>64548.260000000009</v>
      </c>
      <c r="F14" s="427">
        <v>47171.799999999996</v>
      </c>
      <c r="G14" s="427">
        <v>29367.759999999998</v>
      </c>
      <c r="H14" s="427">
        <v>29639.15</v>
      </c>
      <c r="I14" s="427">
        <v>7912.2300000000005</v>
      </c>
      <c r="J14" s="427">
        <v>1149.8200000000002</v>
      </c>
      <c r="K14" s="427">
        <v>206407.25</v>
      </c>
      <c r="L14" s="185">
        <v>550.11999999999989</v>
      </c>
      <c r="M14" s="185">
        <v>100.05</v>
      </c>
      <c r="N14" s="185">
        <v>404.92</v>
      </c>
      <c r="O14" s="185">
        <v>2756.99</v>
      </c>
      <c r="P14" s="612" t="s">
        <v>1756</v>
      </c>
      <c r="Q14" s="325"/>
    </row>
    <row r="15" spans="1:18" s="324" customFormat="1" ht="12" customHeight="1">
      <c r="A15" s="1155" t="s">
        <v>1904</v>
      </c>
      <c r="B15" s="417">
        <f>SUM(B16:B27)</f>
        <v>24277.399999999998</v>
      </c>
      <c r="C15" s="417">
        <f t="shared" ref="C15:N15" si="0">SUM(C16:C27)</f>
        <v>42.169999999999995</v>
      </c>
      <c r="D15" s="417">
        <f t="shared" si="0"/>
        <v>2373.3299999999995</v>
      </c>
      <c r="E15" s="417">
        <f t="shared" si="0"/>
        <v>71795.500000000015</v>
      </c>
      <c r="F15" s="417">
        <f t="shared" si="0"/>
        <v>56323.020000000004</v>
      </c>
      <c r="G15" s="417">
        <f t="shared" si="0"/>
        <v>31398.55</v>
      </c>
      <c r="H15" s="417">
        <f t="shared" si="0"/>
        <v>28891.02</v>
      </c>
      <c r="I15" s="417">
        <f t="shared" si="0"/>
        <v>7664.0400000000009</v>
      </c>
      <c r="J15" s="417">
        <f t="shared" si="0"/>
        <v>1127.3900000000001</v>
      </c>
      <c r="K15" s="417">
        <f t="shared" si="0"/>
        <v>223892.42</v>
      </c>
      <c r="L15" s="375">
        <f t="shared" si="0"/>
        <v>892.1400000000001</v>
      </c>
      <c r="M15" s="375">
        <f t="shared" si="0"/>
        <v>100.23</v>
      </c>
      <c r="N15" s="375">
        <f t="shared" si="0"/>
        <v>443.39</v>
      </c>
      <c r="O15" s="375">
        <f>SUM(O16:O27)</f>
        <v>3032.62</v>
      </c>
      <c r="P15" s="690" t="s">
        <v>1904</v>
      </c>
      <c r="Q15" s="325"/>
    </row>
    <row r="16" spans="1:18" s="324" customFormat="1" ht="12" customHeight="1">
      <c r="A16" s="306" t="s">
        <v>742</v>
      </c>
      <c r="B16" s="325">
        <v>1941.13</v>
      </c>
      <c r="C16" s="325">
        <v>5.01</v>
      </c>
      <c r="D16" s="325">
        <v>88.01</v>
      </c>
      <c r="E16" s="325">
        <v>3802.39</v>
      </c>
      <c r="F16" s="325">
        <v>3438.24</v>
      </c>
      <c r="G16" s="325">
        <v>2297.52</v>
      </c>
      <c r="H16" s="325">
        <v>1416.13</v>
      </c>
      <c r="I16" s="325">
        <v>604.35</v>
      </c>
      <c r="J16" s="325">
        <v>119.82000000000001</v>
      </c>
      <c r="K16" s="325">
        <f t="shared" ref="K16:K27" si="1">SUM(B16:J16)</f>
        <v>13712.6</v>
      </c>
      <c r="L16" s="325">
        <v>35.68</v>
      </c>
      <c r="M16" s="325">
        <v>6.01</v>
      </c>
      <c r="N16" s="325">
        <v>25.84</v>
      </c>
      <c r="O16" s="325">
        <v>211.18</v>
      </c>
      <c r="P16" s="270" t="s">
        <v>742</v>
      </c>
      <c r="Q16" s="325"/>
    </row>
    <row r="17" spans="1:16" s="9" customFormat="1" ht="12" customHeight="1">
      <c r="A17" s="742" t="s">
        <v>743</v>
      </c>
      <c r="B17" s="367">
        <v>1817.61</v>
      </c>
      <c r="C17" s="367">
        <v>4.32</v>
      </c>
      <c r="D17" s="367">
        <v>106.83</v>
      </c>
      <c r="E17" s="367">
        <v>3851.75</v>
      </c>
      <c r="F17" s="367">
        <v>3633.28</v>
      </c>
      <c r="G17" s="367">
        <v>2459.38</v>
      </c>
      <c r="H17" s="367">
        <v>2403.86</v>
      </c>
      <c r="I17" s="367">
        <v>584.32000000000005</v>
      </c>
      <c r="J17" s="367">
        <v>87.17</v>
      </c>
      <c r="K17" s="367">
        <f t="shared" si="1"/>
        <v>14948.520000000002</v>
      </c>
      <c r="L17" s="367">
        <v>31.46</v>
      </c>
      <c r="M17" s="367">
        <v>6.01</v>
      </c>
      <c r="N17" s="367">
        <v>24.11</v>
      </c>
      <c r="O17" s="367">
        <v>287.58</v>
      </c>
      <c r="P17" s="377" t="s">
        <v>743</v>
      </c>
    </row>
    <row r="18" spans="1:16" s="211" customFormat="1" ht="12" customHeight="1">
      <c r="A18" s="306" t="s">
        <v>737</v>
      </c>
      <c r="B18" s="325">
        <v>2132.86</v>
      </c>
      <c r="C18" s="325">
        <v>6.1</v>
      </c>
      <c r="D18" s="325">
        <v>95.7</v>
      </c>
      <c r="E18" s="325">
        <v>5559.25</v>
      </c>
      <c r="F18" s="325">
        <v>3984.08</v>
      </c>
      <c r="G18" s="325">
        <v>2585.21</v>
      </c>
      <c r="H18" s="325">
        <v>2358.2800000000002</v>
      </c>
      <c r="I18" s="325">
        <v>709.18</v>
      </c>
      <c r="J18" s="325">
        <v>88.63</v>
      </c>
      <c r="K18" s="325">
        <f t="shared" si="1"/>
        <v>17519.29</v>
      </c>
      <c r="L18" s="325">
        <v>44.48</v>
      </c>
      <c r="M18" s="325">
        <v>6</v>
      </c>
      <c r="N18" s="325">
        <v>29.71</v>
      </c>
      <c r="O18" s="325">
        <v>275.51</v>
      </c>
      <c r="P18" s="270" t="s">
        <v>737</v>
      </c>
    </row>
    <row r="19" spans="1:16" s="211" customFormat="1" ht="12" customHeight="1">
      <c r="A19" s="742" t="s">
        <v>744</v>
      </c>
      <c r="B19" s="367">
        <v>2049.61</v>
      </c>
      <c r="C19" s="367">
        <v>12.9</v>
      </c>
      <c r="D19" s="367">
        <v>103.61</v>
      </c>
      <c r="E19" s="367">
        <v>3844.49</v>
      </c>
      <c r="F19" s="367">
        <v>4410.78</v>
      </c>
      <c r="G19" s="367">
        <v>2774.31</v>
      </c>
      <c r="H19" s="367">
        <v>2277.6</v>
      </c>
      <c r="I19" s="367">
        <v>647.86</v>
      </c>
      <c r="J19" s="367">
        <v>91.95</v>
      </c>
      <c r="K19" s="367">
        <f t="shared" si="1"/>
        <v>16213.11</v>
      </c>
      <c r="L19" s="367">
        <v>38.86</v>
      </c>
      <c r="M19" s="367">
        <v>9.68</v>
      </c>
      <c r="N19" s="367">
        <v>30.52</v>
      </c>
      <c r="O19" s="367">
        <v>248.16</v>
      </c>
      <c r="P19" s="377" t="s">
        <v>744</v>
      </c>
    </row>
    <row r="20" spans="1:16" s="211" customFormat="1" ht="12" customHeight="1">
      <c r="A20" s="306" t="s">
        <v>745</v>
      </c>
      <c r="B20" s="325">
        <v>1928.36</v>
      </c>
      <c r="C20" s="325">
        <v>3.29</v>
      </c>
      <c r="D20" s="325">
        <v>105.35</v>
      </c>
      <c r="E20" s="325">
        <v>4379.97</v>
      </c>
      <c r="F20" s="325">
        <v>4408.97</v>
      </c>
      <c r="G20" s="325">
        <v>2895.15</v>
      </c>
      <c r="H20" s="325">
        <v>2804.5</v>
      </c>
      <c r="I20" s="325">
        <v>645.82000000000005</v>
      </c>
      <c r="J20" s="325">
        <v>95.62</v>
      </c>
      <c r="K20" s="325">
        <f t="shared" si="1"/>
        <v>17267.03</v>
      </c>
      <c r="L20" s="325">
        <v>42.29</v>
      </c>
      <c r="M20" s="325">
        <v>8.9600000000000009</v>
      </c>
      <c r="N20" s="325">
        <v>27.87</v>
      </c>
      <c r="O20" s="325">
        <v>244.79</v>
      </c>
      <c r="P20" s="270" t="s">
        <v>745</v>
      </c>
    </row>
    <row r="21" spans="1:16" s="211" customFormat="1" ht="12" customHeight="1">
      <c r="A21" s="742" t="s">
        <v>738</v>
      </c>
      <c r="B21" s="367">
        <v>1764.21</v>
      </c>
      <c r="C21" s="367">
        <v>1.46</v>
      </c>
      <c r="D21" s="367">
        <v>311.89999999999998</v>
      </c>
      <c r="E21" s="367">
        <v>6708.44</v>
      </c>
      <c r="F21" s="367">
        <v>4370.8599999999997</v>
      </c>
      <c r="G21" s="367">
        <v>2438.84</v>
      </c>
      <c r="H21" s="367">
        <v>2132.85</v>
      </c>
      <c r="I21" s="367">
        <v>509.78</v>
      </c>
      <c r="J21" s="367">
        <v>94.8</v>
      </c>
      <c r="K21" s="367">
        <f t="shared" si="1"/>
        <v>18333.139999999996</v>
      </c>
      <c r="L21" s="367">
        <v>238.23</v>
      </c>
      <c r="M21" s="367">
        <v>6.91</v>
      </c>
      <c r="N21" s="367">
        <v>22.39</v>
      </c>
      <c r="O21" s="367">
        <v>281.86</v>
      </c>
      <c r="P21" s="377" t="s">
        <v>738</v>
      </c>
    </row>
    <row r="22" spans="1:16" s="211" customFormat="1" ht="12" customHeight="1">
      <c r="A22" s="306" t="s">
        <v>746</v>
      </c>
      <c r="B22" s="325">
        <v>2285.2600000000002</v>
      </c>
      <c r="C22" s="325">
        <v>1.43</v>
      </c>
      <c r="D22" s="325">
        <v>762.35</v>
      </c>
      <c r="E22" s="325">
        <v>5161.68</v>
      </c>
      <c r="F22" s="325">
        <v>4634.5400000000018</v>
      </c>
      <c r="G22" s="325">
        <v>2983.11</v>
      </c>
      <c r="H22" s="325">
        <v>2174.3000000000002</v>
      </c>
      <c r="I22" s="325">
        <v>683.97</v>
      </c>
      <c r="J22" s="325">
        <v>92.210000000000008</v>
      </c>
      <c r="K22" s="325">
        <f t="shared" si="1"/>
        <v>18778.850000000002</v>
      </c>
      <c r="L22" s="325">
        <v>50.98</v>
      </c>
      <c r="M22" s="325">
        <v>10.29</v>
      </c>
      <c r="N22" s="325">
        <v>32.619999999999997</v>
      </c>
      <c r="O22" s="325">
        <v>297.16000000000003</v>
      </c>
      <c r="P22" s="270" t="s">
        <v>746</v>
      </c>
    </row>
    <row r="23" spans="1:16" s="211" customFormat="1" ht="12" customHeight="1">
      <c r="A23" s="742" t="s">
        <v>747</v>
      </c>
      <c r="B23" s="367">
        <v>1808.41</v>
      </c>
      <c r="C23" s="367">
        <v>2.84</v>
      </c>
      <c r="D23" s="367">
        <v>370.12</v>
      </c>
      <c r="E23" s="367">
        <v>4886.62</v>
      </c>
      <c r="F23" s="367">
        <v>4478.1899999999996</v>
      </c>
      <c r="G23" s="367">
        <v>2443.04</v>
      </c>
      <c r="H23" s="367">
        <v>2033.72</v>
      </c>
      <c r="I23" s="367">
        <v>602.63</v>
      </c>
      <c r="J23" s="367">
        <v>97.19</v>
      </c>
      <c r="K23" s="367">
        <f t="shared" si="1"/>
        <v>16722.759999999998</v>
      </c>
      <c r="L23" s="367">
        <v>46.08</v>
      </c>
      <c r="M23" s="367">
        <v>10.46</v>
      </c>
      <c r="N23" s="367">
        <v>27.57</v>
      </c>
      <c r="O23" s="367">
        <v>279.01</v>
      </c>
      <c r="P23" s="377" t="s">
        <v>747</v>
      </c>
    </row>
    <row r="24" spans="1:16" s="211" customFormat="1" ht="12" customHeight="1">
      <c r="A24" s="306" t="s">
        <v>739</v>
      </c>
      <c r="B24" s="325">
        <v>2038.34</v>
      </c>
      <c r="C24" s="325">
        <v>1.4</v>
      </c>
      <c r="D24" s="325">
        <v>125.21</v>
      </c>
      <c r="E24" s="325">
        <v>7350.76</v>
      </c>
      <c r="F24" s="325">
        <v>4598.58</v>
      </c>
      <c r="G24" s="325">
        <v>2596.46</v>
      </c>
      <c r="H24" s="325">
        <v>2482.11</v>
      </c>
      <c r="I24" s="325">
        <v>664.76</v>
      </c>
      <c r="J24" s="325">
        <v>95.76</v>
      </c>
      <c r="K24" s="325">
        <f t="shared" si="1"/>
        <v>19953.379999999997</v>
      </c>
      <c r="L24" s="325">
        <v>45.47</v>
      </c>
      <c r="M24" s="325">
        <v>11.21</v>
      </c>
      <c r="N24" s="325">
        <v>28.11</v>
      </c>
      <c r="O24" s="325">
        <v>165.85</v>
      </c>
      <c r="P24" s="270" t="s">
        <v>739</v>
      </c>
    </row>
    <row r="25" spans="1:16" s="211" customFormat="1" ht="12" customHeight="1">
      <c r="A25" s="742" t="s">
        <v>748</v>
      </c>
      <c r="B25" s="367">
        <v>2410.37</v>
      </c>
      <c r="C25" s="367">
        <v>1.67</v>
      </c>
      <c r="D25" s="367">
        <v>98.87</v>
      </c>
      <c r="E25" s="367">
        <v>5370.08</v>
      </c>
      <c r="F25" s="367">
        <v>4773.67</v>
      </c>
      <c r="G25" s="367">
        <v>3016.83</v>
      </c>
      <c r="H25" s="367">
        <v>3190.46</v>
      </c>
      <c r="I25" s="367">
        <v>688.2</v>
      </c>
      <c r="J25" s="367">
        <v>67.680000000000007</v>
      </c>
      <c r="K25" s="367">
        <f t="shared" si="1"/>
        <v>19617.830000000002</v>
      </c>
      <c r="L25" s="367">
        <v>66.5</v>
      </c>
      <c r="M25" s="367">
        <v>9.92</v>
      </c>
      <c r="N25" s="367">
        <v>26.95</v>
      </c>
      <c r="O25" s="367">
        <v>269.14</v>
      </c>
      <c r="P25" s="377" t="s">
        <v>748</v>
      </c>
    </row>
    <row r="26" spans="1:16" s="211" customFormat="1" ht="12" customHeight="1">
      <c r="A26" s="306" t="s">
        <v>749</v>
      </c>
      <c r="B26" s="325">
        <v>2270.98</v>
      </c>
      <c r="C26" s="325">
        <v>1.1100000000000001</v>
      </c>
      <c r="D26" s="325">
        <v>94.7</v>
      </c>
      <c r="E26" s="325">
        <v>5711.8</v>
      </c>
      <c r="F26" s="325">
        <v>5369.08</v>
      </c>
      <c r="G26" s="325">
        <v>2654.65</v>
      </c>
      <c r="H26" s="325">
        <v>3630.93</v>
      </c>
      <c r="I26" s="325">
        <v>686.33</v>
      </c>
      <c r="J26" s="325">
        <v>129.32</v>
      </c>
      <c r="K26" s="325">
        <f t="shared" si="1"/>
        <v>20548.900000000001</v>
      </c>
      <c r="L26" s="325">
        <v>70.17</v>
      </c>
      <c r="M26" s="325">
        <v>6.95</v>
      </c>
      <c r="N26" s="325">
        <v>25.79</v>
      </c>
      <c r="O26" s="325">
        <v>232.86</v>
      </c>
      <c r="P26" s="270" t="s">
        <v>749</v>
      </c>
    </row>
    <row r="27" spans="1:16" s="211" customFormat="1" ht="12" customHeight="1">
      <c r="A27" s="742" t="s">
        <v>740</v>
      </c>
      <c r="B27" s="367">
        <v>1830.26</v>
      </c>
      <c r="C27" s="367">
        <v>0.64</v>
      </c>
      <c r="D27" s="367">
        <v>110.68</v>
      </c>
      <c r="E27" s="367">
        <v>15168.27</v>
      </c>
      <c r="F27" s="367">
        <v>8222.75</v>
      </c>
      <c r="G27" s="367">
        <v>2254.0500000000002</v>
      </c>
      <c r="H27" s="367">
        <v>1986.28</v>
      </c>
      <c r="I27" s="367">
        <v>636.84</v>
      </c>
      <c r="J27" s="367">
        <v>67.239999999999995</v>
      </c>
      <c r="K27" s="367">
        <f t="shared" si="1"/>
        <v>30277.010000000002</v>
      </c>
      <c r="L27" s="367">
        <v>181.94</v>
      </c>
      <c r="M27" s="367">
        <v>7.83</v>
      </c>
      <c r="N27" s="367">
        <v>141.91</v>
      </c>
      <c r="O27" s="367">
        <v>239.52</v>
      </c>
      <c r="P27" s="377" t="s">
        <v>740</v>
      </c>
    </row>
    <row r="28" spans="1:16" s="211" customFormat="1" ht="12" customHeight="1">
      <c r="A28" s="541" t="s">
        <v>2557</v>
      </c>
      <c r="B28" s="1202">
        <f>SUM(B29:B40)</f>
        <v>26113.600000000002</v>
      </c>
      <c r="C28" s="1202">
        <f t="shared" ref="C28:N28" si="2">SUM(C29:C40)</f>
        <v>1.07</v>
      </c>
      <c r="D28" s="1202">
        <f t="shared" si="2"/>
        <v>2279.46</v>
      </c>
      <c r="E28" s="1202">
        <f t="shared" si="2"/>
        <v>72179.789999999994</v>
      </c>
      <c r="F28" s="1202">
        <f t="shared" si="2"/>
        <v>56451.32</v>
      </c>
      <c r="G28" s="1202">
        <f t="shared" si="2"/>
        <v>27817.929999999997</v>
      </c>
      <c r="H28" s="1202">
        <f t="shared" si="2"/>
        <v>25471.34</v>
      </c>
      <c r="I28" s="1202">
        <f t="shared" si="2"/>
        <v>6619.64</v>
      </c>
      <c r="J28" s="1202">
        <f t="shared" si="2"/>
        <v>1471.9</v>
      </c>
      <c r="K28" s="1202">
        <f t="shared" si="2"/>
        <v>218406.05</v>
      </c>
      <c r="L28" s="185">
        <f t="shared" si="2"/>
        <v>649.49299999999994</v>
      </c>
      <c r="M28" s="185">
        <f t="shared" si="2"/>
        <v>240.14999999999998</v>
      </c>
      <c r="N28" s="185">
        <f t="shared" si="2"/>
        <v>454.72999999999996</v>
      </c>
      <c r="O28" s="185">
        <f>SUM(O29:O40)</f>
        <v>2095.779</v>
      </c>
      <c r="P28" s="612" t="s">
        <v>2557</v>
      </c>
    </row>
    <row r="29" spans="1:16" s="211" customFormat="1" ht="12" customHeight="1">
      <c r="A29" s="742" t="s">
        <v>742</v>
      </c>
      <c r="B29" s="367">
        <v>2058.86</v>
      </c>
      <c r="C29" s="367">
        <v>0.48</v>
      </c>
      <c r="D29" s="367">
        <v>117.55</v>
      </c>
      <c r="E29" s="367">
        <v>4257.07</v>
      </c>
      <c r="F29" s="367">
        <v>4663.12</v>
      </c>
      <c r="G29" s="367">
        <v>2526.92</v>
      </c>
      <c r="H29" s="367">
        <v>1357.31</v>
      </c>
      <c r="I29" s="367">
        <v>714.72</v>
      </c>
      <c r="J29" s="367">
        <f>88.72+41.51+0.12</f>
        <v>130.35</v>
      </c>
      <c r="K29" s="367">
        <f t="shared" ref="K29:K52" si="3">SUM(B29:J29)</f>
        <v>15826.38</v>
      </c>
      <c r="L29" s="367">
        <v>37.15</v>
      </c>
      <c r="M29" s="367">
        <v>18.059999999999999</v>
      </c>
      <c r="N29" s="367">
        <v>18.920000000000002</v>
      </c>
      <c r="O29" s="367">
        <v>264.83999999999997</v>
      </c>
      <c r="P29" s="377" t="s">
        <v>742</v>
      </c>
    </row>
    <row r="30" spans="1:16" s="211" customFormat="1" ht="12" customHeight="1">
      <c r="A30" s="306" t="s">
        <v>743</v>
      </c>
      <c r="B30" s="325">
        <v>1667.65</v>
      </c>
      <c r="C30" s="325">
        <v>0.21</v>
      </c>
      <c r="D30" s="325">
        <v>101.25</v>
      </c>
      <c r="E30" s="325">
        <v>4480.6899999999996</v>
      </c>
      <c r="F30" s="325">
        <v>4082.42</v>
      </c>
      <c r="G30" s="325">
        <v>2076.15</v>
      </c>
      <c r="H30" s="325">
        <v>1228.17</v>
      </c>
      <c r="I30" s="325">
        <v>527.83000000000004</v>
      </c>
      <c r="J30" s="325">
        <v>121.08000000000001</v>
      </c>
      <c r="K30" s="325">
        <f t="shared" si="3"/>
        <v>14285.449999999999</v>
      </c>
      <c r="L30" s="325">
        <v>40</v>
      </c>
      <c r="M30" s="325">
        <v>18.059999999999999</v>
      </c>
      <c r="N30" s="325">
        <v>19.16</v>
      </c>
      <c r="O30" s="325">
        <v>197.32</v>
      </c>
      <c r="P30" s="270" t="s">
        <v>743</v>
      </c>
    </row>
    <row r="31" spans="1:16" s="211" customFormat="1" ht="12" customHeight="1">
      <c r="A31" s="742" t="s">
        <v>737</v>
      </c>
      <c r="B31" s="367">
        <v>2163.6</v>
      </c>
      <c r="C31" s="367">
        <v>0.19</v>
      </c>
      <c r="D31" s="367">
        <v>91.24</v>
      </c>
      <c r="E31" s="367">
        <v>6174.76</v>
      </c>
      <c r="F31" s="367">
        <v>4397.3900000000003</v>
      </c>
      <c r="G31" s="367">
        <v>2563.48</v>
      </c>
      <c r="H31" s="367">
        <v>1731.05</v>
      </c>
      <c r="I31" s="367">
        <v>644.65</v>
      </c>
      <c r="J31" s="367">
        <v>137.51</v>
      </c>
      <c r="K31" s="367">
        <f t="shared" si="3"/>
        <v>17903.87</v>
      </c>
      <c r="L31" s="367">
        <v>47.97</v>
      </c>
      <c r="M31" s="367">
        <v>18.059999999999999</v>
      </c>
      <c r="N31" s="367">
        <v>40.31</v>
      </c>
      <c r="O31" s="367">
        <v>271.61</v>
      </c>
      <c r="P31" s="377" t="s">
        <v>737</v>
      </c>
    </row>
    <row r="32" spans="1:16" s="211" customFormat="1" ht="12" customHeight="1">
      <c r="A32" s="306" t="s">
        <v>744</v>
      </c>
      <c r="B32" s="325">
        <v>2254.1999999999998</v>
      </c>
      <c r="C32" s="325">
        <v>0.05</v>
      </c>
      <c r="D32" s="325">
        <v>100.13</v>
      </c>
      <c r="E32" s="325">
        <v>4479.8100000000004</v>
      </c>
      <c r="F32" s="325">
        <v>5021.09</v>
      </c>
      <c r="G32" s="325">
        <v>2747.44</v>
      </c>
      <c r="H32" s="325">
        <v>2323.8000000000002</v>
      </c>
      <c r="I32" s="325">
        <v>702.98</v>
      </c>
      <c r="J32" s="325">
        <v>161.38</v>
      </c>
      <c r="K32" s="325">
        <f t="shared" si="3"/>
        <v>17790.88</v>
      </c>
      <c r="L32" s="325">
        <v>87.85</v>
      </c>
      <c r="M32" s="325">
        <v>23.27</v>
      </c>
      <c r="N32" s="325">
        <v>22.67</v>
      </c>
      <c r="O32" s="325">
        <v>271.04000000000002</v>
      </c>
      <c r="P32" s="270" t="s">
        <v>744</v>
      </c>
    </row>
    <row r="33" spans="1:18" s="211" customFormat="1" ht="12" customHeight="1">
      <c r="A33" s="742" t="s">
        <v>745</v>
      </c>
      <c r="B33" s="367">
        <v>2232.29</v>
      </c>
      <c r="C33" s="367">
        <v>0.03</v>
      </c>
      <c r="D33" s="367">
        <v>93.1</v>
      </c>
      <c r="E33" s="367">
        <v>5028.8</v>
      </c>
      <c r="F33" s="367">
        <v>5568.56</v>
      </c>
      <c r="G33" s="367">
        <v>2571.08</v>
      </c>
      <c r="H33" s="367">
        <v>2313.5</v>
      </c>
      <c r="I33" s="367">
        <v>633.28</v>
      </c>
      <c r="J33" s="367">
        <v>155.33000000000001</v>
      </c>
      <c r="K33" s="367">
        <f t="shared" si="3"/>
        <v>18595.97</v>
      </c>
      <c r="L33" s="367">
        <v>50.868000000000002</v>
      </c>
      <c r="M33" s="367">
        <v>23.27</v>
      </c>
      <c r="N33" s="367">
        <v>20.32</v>
      </c>
      <c r="O33" s="367">
        <v>212.39</v>
      </c>
      <c r="P33" s="377" t="s">
        <v>745</v>
      </c>
    </row>
    <row r="34" spans="1:18" s="211" customFormat="1" ht="12" customHeight="1">
      <c r="A34" s="306" t="s">
        <v>738</v>
      </c>
      <c r="B34" s="325">
        <v>2124.11</v>
      </c>
      <c r="C34" s="325">
        <v>0.01</v>
      </c>
      <c r="D34" s="325">
        <v>994.55</v>
      </c>
      <c r="E34" s="325">
        <v>7717.43</v>
      </c>
      <c r="F34" s="325">
        <v>5343.5</v>
      </c>
      <c r="G34" s="325">
        <v>2653.05</v>
      </c>
      <c r="H34" s="325">
        <v>2209.1</v>
      </c>
      <c r="I34" s="325">
        <v>646.72</v>
      </c>
      <c r="J34" s="325">
        <v>149.38999999999999</v>
      </c>
      <c r="K34" s="325">
        <f t="shared" si="3"/>
        <v>21837.86</v>
      </c>
      <c r="L34" s="325">
        <v>52.83</v>
      </c>
      <c r="M34" s="325">
        <v>23.27</v>
      </c>
      <c r="N34" s="325">
        <v>33.68</v>
      </c>
      <c r="O34" s="325">
        <v>282.91000000000003</v>
      </c>
      <c r="P34" s="270" t="s">
        <v>738</v>
      </c>
    </row>
    <row r="35" spans="1:18" s="211" customFormat="1" ht="12" customHeight="1">
      <c r="A35" s="742" t="s">
        <v>746</v>
      </c>
      <c r="B35" s="367">
        <v>2250.61</v>
      </c>
      <c r="C35" s="367">
        <v>0.05</v>
      </c>
      <c r="D35" s="367">
        <v>385.19</v>
      </c>
      <c r="E35" s="367">
        <v>6188.54</v>
      </c>
      <c r="F35" s="367">
        <v>5071.1400000000003</v>
      </c>
      <c r="G35" s="367">
        <v>2676.49</v>
      </c>
      <c r="H35" s="367">
        <v>2883.58</v>
      </c>
      <c r="I35" s="367">
        <v>716.93</v>
      </c>
      <c r="J35" s="367">
        <v>165.06</v>
      </c>
      <c r="K35" s="367">
        <f t="shared" si="3"/>
        <v>20337.59</v>
      </c>
      <c r="L35" s="367">
        <v>51.32</v>
      </c>
      <c r="M35" s="367">
        <v>26.95</v>
      </c>
      <c r="N35" s="367">
        <v>23.39</v>
      </c>
      <c r="O35" s="367">
        <v>165.47</v>
      </c>
      <c r="P35" s="377" t="s">
        <v>746</v>
      </c>
    </row>
    <row r="36" spans="1:18" s="211" customFormat="1" ht="12" customHeight="1">
      <c r="A36" s="306" t="s">
        <v>747</v>
      </c>
      <c r="B36" s="325">
        <v>2183.33</v>
      </c>
      <c r="C36" s="325">
        <v>0.04</v>
      </c>
      <c r="D36" s="325">
        <v>242.63</v>
      </c>
      <c r="E36" s="325">
        <v>5545.81</v>
      </c>
      <c r="F36" s="325">
        <v>4717.45</v>
      </c>
      <c r="G36" s="325">
        <v>2759.99</v>
      </c>
      <c r="H36" s="325">
        <v>2627.72</v>
      </c>
      <c r="I36" s="325">
        <v>769.83</v>
      </c>
      <c r="J36" s="325">
        <f>162.8-0.35</f>
        <v>162.45000000000002</v>
      </c>
      <c r="K36" s="325">
        <f t="shared" si="3"/>
        <v>19009.250000000004</v>
      </c>
      <c r="L36" s="325">
        <v>57.38</v>
      </c>
      <c r="M36" s="325">
        <v>26.95</v>
      </c>
      <c r="N36" s="325">
        <v>19.48</v>
      </c>
      <c r="O36" s="325">
        <v>151.94</v>
      </c>
      <c r="P36" s="270" t="s">
        <v>747</v>
      </c>
    </row>
    <row r="37" spans="1:18" s="211" customFormat="1" ht="12" customHeight="1">
      <c r="A37" s="742" t="s">
        <v>739</v>
      </c>
      <c r="B37" s="367">
        <v>2122.73</v>
      </c>
      <c r="C37" s="367">
        <v>0</v>
      </c>
      <c r="D37" s="367">
        <v>47.36</v>
      </c>
      <c r="E37" s="367">
        <v>8171.75</v>
      </c>
      <c r="F37" s="367">
        <v>4036.26</v>
      </c>
      <c r="G37" s="367">
        <v>2597.2800000000002</v>
      </c>
      <c r="H37" s="367">
        <v>2886.43</v>
      </c>
      <c r="I37" s="367">
        <v>554.09</v>
      </c>
      <c r="J37" s="367">
        <f>114.82+3.4</f>
        <v>118.22</v>
      </c>
      <c r="K37" s="367">
        <f t="shared" si="3"/>
        <v>20534.120000000003</v>
      </c>
      <c r="L37" s="367">
        <v>26.22</v>
      </c>
      <c r="M37" s="367">
        <v>26.95</v>
      </c>
      <c r="N37" s="367">
        <v>12.11</v>
      </c>
      <c r="O37" s="367">
        <v>144.83000000000001</v>
      </c>
      <c r="P37" s="377" t="s">
        <v>739</v>
      </c>
    </row>
    <row r="38" spans="1:18" s="211" customFormat="1" ht="12" customHeight="1">
      <c r="A38" s="306" t="s">
        <v>748</v>
      </c>
      <c r="B38" s="325">
        <v>979.58</v>
      </c>
      <c r="C38" s="325" t="s">
        <v>430</v>
      </c>
      <c r="D38" s="325">
        <v>23.96</v>
      </c>
      <c r="E38" s="325">
        <v>2264.64</v>
      </c>
      <c r="F38" s="325">
        <v>2660.08</v>
      </c>
      <c r="G38" s="325">
        <v>1501.42</v>
      </c>
      <c r="H38" s="325">
        <v>1299.53</v>
      </c>
      <c r="I38" s="325">
        <v>169.46</v>
      </c>
      <c r="J38" s="325">
        <v>42.040000000000006</v>
      </c>
      <c r="K38" s="325">
        <f t="shared" si="3"/>
        <v>8940.7100000000009</v>
      </c>
      <c r="L38" s="325">
        <v>1.4999999999999999E-2</v>
      </c>
      <c r="M38" s="325">
        <v>11.77</v>
      </c>
      <c r="N38" s="325">
        <v>2.68</v>
      </c>
      <c r="O38" s="325" t="s">
        <v>430</v>
      </c>
      <c r="P38" s="270" t="s">
        <v>748</v>
      </c>
    </row>
    <row r="39" spans="1:18" s="211" customFormat="1" ht="12" customHeight="1">
      <c r="A39" s="742" t="s">
        <v>749</v>
      </c>
      <c r="B39" s="367">
        <v>4024.86</v>
      </c>
      <c r="C39" s="367" t="s">
        <v>430</v>
      </c>
      <c r="D39" s="367">
        <v>23.34</v>
      </c>
      <c r="E39" s="367">
        <v>2669.87</v>
      </c>
      <c r="F39" s="367">
        <v>3862.88</v>
      </c>
      <c r="G39" s="367" t="s">
        <v>430</v>
      </c>
      <c r="H39" s="367">
        <v>2798.72</v>
      </c>
      <c r="I39" s="367" t="s">
        <v>430</v>
      </c>
      <c r="J39" s="367">
        <v>73.88</v>
      </c>
      <c r="K39" s="367">
        <f t="shared" si="3"/>
        <v>13453.55</v>
      </c>
      <c r="L39" s="367">
        <v>17.59</v>
      </c>
      <c r="M39" s="367">
        <v>11.77</v>
      </c>
      <c r="N39" s="367">
        <v>5.63</v>
      </c>
      <c r="O39" s="367">
        <v>0.57899999999999996</v>
      </c>
      <c r="P39" s="377" t="s">
        <v>749</v>
      </c>
    </row>
    <row r="40" spans="1:18" s="211" customFormat="1" ht="12" customHeight="1">
      <c r="A40" s="306" t="s">
        <v>740</v>
      </c>
      <c r="B40" s="325">
        <v>2051.7800000000002</v>
      </c>
      <c r="C40" s="325">
        <v>0.01</v>
      </c>
      <c r="D40" s="325">
        <v>59.16</v>
      </c>
      <c r="E40" s="325">
        <v>15200.62</v>
      </c>
      <c r="F40" s="325">
        <v>7027.43</v>
      </c>
      <c r="G40" s="325">
        <v>3144.63</v>
      </c>
      <c r="H40" s="325">
        <v>1812.43</v>
      </c>
      <c r="I40" s="325">
        <v>539.15</v>
      </c>
      <c r="J40" s="325">
        <v>55.21</v>
      </c>
      <c r="K40" s="325">
        <f t="shared" si="3"/>
        <v>29890.420000000002</v>
      </c>
      <c r="L40" s="325">
        <v>180.3</v>
      </c>
      <c r="M40" s="325">
        <v>11.77</v>
      </c>
      <c r="N40" s="325">
        <v>236.38</v>
      </c>
      <c r="O40" s="325">
        <v>132.85</v>
      </c>
      <c r="P40" s="270" t="s">
        <v>740</v>
      </c>
    </row>
    <row r="41" spans="1:18" s="211" customFormat="1" ht="12" customHeight="1">
      <c r="A41" s="1155" t="s">
        <v>2139</v>
      </c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67"/>
      <c r="N41" s="367"/>
      <c r="O41" s="367"/>
      <c r="P41" s="690" t="s">
        <v>2139</v>
      </c>
    </row>
    <row r="42" spans="1:18" s="211" customFormat="1" ht="12" customHeight="1">
      <c r="A42" s="306" t="s">
        <v>742</v>
      </c>
      <c r="B42" s="325">
        <v>1987.76</v>
      </c>
      <c r="C42" s="325">
        <v>0</v>
      </c>
      <c r="D42" s="325">
        <v>35.74</v>
      </c>
      <c r="E42" s="325">
        <v>4116.05</v>
      </c>
      <c r="F42" s="325">
        <v>4024.77</v>
      </c>
      <c r="G42" s="325">
        <v>2518.0300000000002</v>
      </c>
      <c r="H42" s="325">
        <v>1515.97</v>
      </c>
      <c r="I42" s="325">
        <v>510.11</v>
      </c>
      <c r="J42" s="325">
        <f>0.03+43.88+2.33</f>
        <v>46.24</v>
      </c>
      <c r="K42" s="325">
        <f t="shared" si="3"/>
        <v>14754.67</v>
      </c>
      <c r="L42" s="325">
        <v>37.43</v>
      </c>
      <c r="M42" s="325">
        <v>3.16</v>
      </c>
      <c r="N42" s="325">
        <v>14.96</v>
      </c>
      <c r="O42" s="325">
        <v>689.66</v>
      </c>
      <c r="P42" s="270" t="s">
        <v>742</v>
      </c>
      <c r="R42" s="313"/>
    </row>
    <row r="43" spans="1:18" s="211" customFormat="1" ht="12" customHeight="1">
      <c r="A43" s="742" t="s">
        <v>743</v>
      </c>
      <c r="B43" s="367">
        <v>1979.39</v>
      </c>
      <c r="C43" s="367">
        <v>0</v>
      </c>
      <c r="D43" s="367">
        <v>50.44</v>
      </c>
      <c r="E43" s="367">
        <v>4662.82</v>
      </c>
      <c r="F43" s="367">
        <v>4032.1</v>
      </c>
      <c r="G43" s="367">
        <v>2525.42</v>
      </c>
      <c r="H43" s="367">
        <v>1608.04</v>
      </c>
      <c r="I43" s="367">
        <v>487.8</v>
      </c>
      <c r="J43" s="367">
        <f>0.1+40.63+19.43</f>
        <v>60.160000000000004</v>
      </c>
      <c r="K43" s="367">
        <f t="shared" si="3"/>
        <v>15406.169999999998</v>
      </c>
      <c r="L43" s="367">
        <v>43.88</v>
      </c>
      <c r="M43" s="367">
        <v>4.8899999999999997</v>
      </c>
      <c r="N43" s="367">
        <v>22.29</v>
      </c>
      <c r="O43" s="367">
        <v>575.09</v>
      </c>
      <c r="P43" s="377" t="s">
        <v>743</v>
      </c>
      <c r="R43" s="313"/>
    </row>
    <row r="44" spans="1:18" s="211" customFormat="1" ht="12" customHeight="1">
      <c r="A44" s="306" t="s">
        <v>737</v>
      </c>
      <c r="B44" s="325">
        <v>2316.65</v>
      </c>
      <c r="C44" s="325">
        <v>0</v>
      </c>
      <c r="D44" s="325">
        <v>37.51</v>
      </c>
      <c r="E44" s="325">
        <v>7103.89</v>
      </c>
      <c r="F44" s="325">
        <v>4519.8599999999997</v>
      </c>
      <c r="G44" s="325">
        <v>2999.57</v>
      </c>
      <c r="H44" s="325">
        <v>2151.3200000000002</v>
      </c>
      <c r="I44" s="325">
        <v>633.98</v>
      </c>
      <c r="J44" s="325">
        <f>0.1+51.57+16.04</f>
        <v>67.710000000000008</v>
      </c>
      <c r="K44" s="325">
        <f t="shared" si="3"/>
        <v>19830.489999999998</v>
      </c>
      <c r="L44" s="325">
        <v>59.71</v>
      </c>
      <c r="M44" s="325">
        <v>8.1300000000000008</v>
      </c>
      <c r="N44" s="325">
        <v>20.93</v>
      </c>
      <c r="O44" s="325">
        <v>929.69</v>
      </c>
      <c r="P44" s="270" t="s">
        <v>737</v>
      </c>
      <c r="R44" s="313"/>
    </row>
    <row r="45" spans="1:18" s="211" customFormat="1" ht="12" customHeight="1">
      <c r="A45" s="742" t="s">
        <v>744</v>
      </c>
      <c r="B45" s="367">
        <v>2207.19</v>
      </c>
      <c r="C45" s="367">
        <v>0</v>
      </c>
      <c r="D45" s="367">
        <v>45.93</v>
      </c>
      <c r="E45" s="367">
        <v>4804.72</v>
      </c>
      <c r="F45" s="367">
        <v>4810.53</v>
      </c>
      <c r="G45" s="367">
        <v>2889.27</v>
      </c>
      <c r="H45" s="367">
        <v>2593.1799999999998</v>
      </c>
      <c r="I45" s="367">
        <v>709.97</v>
      </c>
      <c r="J45" s="367">
        <f>0.07+63.01+14.91</f>
        <v>77.989999999999995</v>
      </c>
      <c r="K45" s="367">
        <f t="shared" si="3"/>
        <v>18138.780000000002</v>
      </c>
      <c r="L45" s="367">
        <v>65.06</v>
      </c>
      <c r="M45" s="367">
        <v>10.98</v>
      </c>
      <c r="N45" s="367">
        <v>17.98</v>
      </c>
      <c r="O45" s="367">
        <v>862.74</v>
      </c>
      <c r="P45" s="377" t="s">
        <v>744</v>
      </c>
      <c r="R45" s="313"/>
    </row>
    <row r="46" spans="1:18" s="211" customFormat="1" ht="12" customHeight="1">
      <c r="A46" s="306" t="s">
        <v>745</v>
      </c>
      <c r="B46" s="325">
        <v>2336.5300000000002</v>
      </c>
      <c r="C46" s="325">
        <v>0</v>
      </c>
      <c r="D46" s="325">
        <v>55.93</v>
      </c>
      <c r="E46" s="325">
        <v>5265.3</v>
      </c>
      <c r="F46" s="325">
        <v>5087.13</v>
      </c>
      <c r="G46" s="325">
        <v>2900.11</v>
      </c>
      <c r="H46" s="325">
        <v>2618.7800000000002</v>
      </c>
      <c r="I46" s="325">
        <v>711.85</v>
      </c>
      <c r="J46" s="325">
        <f>0.04+60.08+28.82</f>
        <v>88.94</v>
      </c>
      <c r="K46" s="325">
        <f t="shared" si="3"/>
        <v>19064.569999999996</v>
      </c>
      <c r="L46" s="325">
        <v>60.44</v>
      </c>
      <c r="M46" s="325">
        <v>6.89</v>
      </c>
      <c r="N46" s="325">
        <v>19.93</v>
      </c>
      <c r="O46" s="325">
        <v>1209.8599999999999</v>
      </c>
      <c r="P46" s="270" t="s">
        <v>745</v>
      </c>
      <c r="R46" s="313"/>
    </row>
    <row r="47" spans="1:18" s="211" customFormat="1" ht="12" customHeight="1">
      <c r="A47" s="742" t="s">
        <v>738</v>
      </c>
      <c r="B47" s="367">
        <v>2349.64</v>
      </c>
      <c r="C47" s="367">
        <v>0</v>
      </c>
      <c r="D47" s="367">
        <v>1086.43</v>
      </c>
      <c r="E47" s="367">
        <v>8260.4500000000007</v>
      </c>
      <c r="F47" s="367">
        <v>5382.05</v>
      </c>
      <c r="G47" s="367">
        <v>2874.17</v>
      </c>
      <c r="H47" s="367">
        <v>2544.0700000000002</v>
      </c>
      <c r="I47" s="367">
        <v>705.67</v>
      </c>
      <c r="J47" s="367">
        <f>0.15+67.98+35.71</f>
        <v>103.84</v>
      </c>
      <c r="K47" s="367">
        <f t="shared" si="3"/>
        <v>23306.319999999996</v>
      </c>
      <c r="L47" s="367">
        <v>79.2</v>
      </c>
      <c r="M47" s="367">
        <v>8.2100000000000009</v>
      </c>
      <c r="N47" s="367">
        <v>18.47</v>
      </c>
      <c r="O47" s="367">
        <v>131.77000000000001</v>
      </c>
      <c r="P47" s="377" t="s">
        <v>738</v>
      </c>
      <c r="R47" s="313"/>
    </row>
    <row r="48" spans="1:18" s="211" customFormat="1" ht="12" customHeight="1">
      <c r="A48" s="306" t="s">
        <v>746</v>
      </c>
      <c r="B48" s="325">
        <v>2523.4299999999998</v>
      </c>
      <c r="C48" s="325">
        <v>0</v>
      </c>
      <c r="D48" s="325">
        <v>499.05</v>
      </c>
      <c r="E48" s="325">
        <v>6563.77</v>
      </c>
      <c r="F48" s="325">
        <v>5565.98</v>
      </c>
      <c r="G48" s="325">
        <v>2952.73</v>
      </c>
      <c r="H48" s="325">
        <v>2762.09</v>
      </c>
      <c r="I48" s="325">
        <v>673.84</v>
      </c>
      <c r="J48" s="325">
        <f>0.08+67.39+23.61</f>
        <v>91.08</v>
      </c>
      <c r="K48" s="325">
        <f t="shared" si="3"/>
        <v>21631.97</v>
      </c>
      <c r="L48" s="325">
        <v>70.739999999999995</v>
      </c>
      <c r="M48" s="325">
        <v>9.25</v>
      </c>
      <c r="N48" s="325">
        <v>20.02</v>
      </c>
      <c r="O48" s="325">
        <v>795.31</v>
      </c>
      <c r="P48" s="270" t="s">
        <v>746</v>
      </c>
      <c r="R48" s="313"/>
    </row>
    <row r="49" spans="1:18" s="211" customFormat="1" ht="12" customHeight="1">
      <c r="A49" s="742" t="s">
        <v>747</v>
      </c>
      <c r="B49" s="367">
        <v>2617.89</v>
      </c>
      <c r="C49" s="367">
        <v>0</v>
      </c>
      <c r="D49" s="367">
        <v>329.49</v>
      </c>
      <c r="E49" s="367">
        <v>5882.03</v>
      </c>
      <c r="F49" s="367">
        <v>5312.55</v>
      </c>
      <c r="G49" s="367">
        <v>3050.02</v>
      </c>
      <c r="H49" s="367">
        <v>2857.77</v>
      </c>
      <c r="I49" s="367">
        <v>776.54</v>
      </c>
      <c r="J49" s="367">
        <f>0.08+64.83+47.57</f>
        <v>112.47999999999999</v>
      </c>
      <c r="K49" s="367">
        <f t="shared" si="3"/>
        <v>20938.77</v>
      </c>
      <c r="L49" s="367">
        <v>64.680000000000007</v>
      </c>
      <c r="M49" s="367">
        <v>8.18</v>
      </c>
      <c r="N49" s="367">
        <v>17.25</v>
      </c>
      <c r="O49" s="367">
        <v>823.87</v>
      </c>
      <c r="P49" s="377" t="s">
        <v>747</v>
      </c>
      <c r="R49" s="313"/>
    </row>
    <row r="50" spans="1:18" s="211" customFormat="1" ht="12" customHeight="1">
      <c r="A50" s="306" t="s">
        <v>739</v>
      </c>
      <c r="B50" s="325">
        <v>3142.97</v>
      </c>
      <c r="C50" s="325">
        <v>0</v>
      </c>
      <c r="D50" s="325">
        <v>78.489999999999995</v>
      </c>
      <c r="E50" s="325">
        <v>8907.43</v>
      </c>
      <c r="F50" s="325">
        <v>5195.6899999999996</v>
      </c>
      <c r="G50" s="325">
        <v>3792.03</v>
      </c>
      <c r="H50" s="325">
        <v>3135.4</v>
      </c>
      <c r="I50" s="325">
        <v>816.15</v>
      </c>
      <c r="J50" s="325">
        <f>0.61+73.07+43.82</f>
        <v>117.5</v>
      </c>
      <c r="K50" s="325">
        <f t="shared" si="3"/>
        <v>25185.66</v>
      </c>
      <c r="L50" s="325" t="s">
        <v>430</v>
      </c>
      <c r="M50" s="325" t="s">
        <v>430</v>
      </c>
      <c r="N50" s="325" t="s">
        <v>430</v>
      </c>
      <c r="O50" s="325" t="s">
        <v>430</v>
      </c>
      <c r="P50" s="270" t="s">
        <v>739</v>
      </c>
      <c r="R50" s="313"/>
    </row>
    <row r="51" spans="1:18" s="211" customFormat="1" ht="12" customHeight="1">
      <c r="A51" s="742" t="s">
        <v>748</v>
      </c>
      <c r="B51" s="367">
        <v>2819.02</v>
      </c>
      <c r="C51" s="367">
        <v>0</v>
      </c>
      <c r="D51" s="367">
        <v>56.3</v>
      </c>
      <c r="E51" s="367">
        <v>3829.8</v>
      </c>
      <c r="F51" s="367">
        <v>4969.71</v>
      </c>
      <c r="G51" s="367">
        <v>3583.46</v>
      </c>
      <c r="H51" s="367">
        <v>3214.89</v>
      </c>
      <c r="I51" s="367">
        <v>740.44</v>
      </c>
      <c r="J51" s="367">
        <f>0.05+70.74+41.71</f>
        <v>112.5</v>
      </c>
      <c r="K51" s="367">
        <f t="shared" si="3"/>
        <v>19326.12</v>
      </c>
      <c r="L51" s="367" t="s">
        <v>430</v>
      </c>
      <c r="M51" s="367" t="s">
        <v>430</v>
      </c>
      <c r="N51" s="367" t="s">
        <v>430</v>
      </c>
      <c r="O51" s="367" t="s">
        <v>430</v>
      </c>
      <c r="P51" s="377" t="s">
        <v>748</v>
      </c>
      <c r="R51" s="313"/>
    </row>
    <row r="52" spans="1:18" s="211" customFormat="1" ht="12" customHeight="1" thickBot="1">
      <c r="A52" s="1575" t="s">
        <v>749</v>
      </c>
      <c r="B52" s="955">
        <v>2661.3</v>
      </c>
      <c r="C52" s="955">
        <v>0</v>
      </c>
      <c r="D52" s="955">
        <v>55.21</v>
      </c>
      <c r="E52" s="955">
        <v>6003.47</v>
      </c>
      <c r="F52" s="955">
        <v>6015.29</v>
      </c>
      <c r="G52" s="955">
        <v>3606.56</v>
      </c>
      <c r="H52" s="955">
        <v>3327.94</v>
      </c>
      <c r="I52" s="955">
        <v>705.92</v>
      </c>
      <c r="J52" s="955">
        <f>0.05+80.16+33.11</f>
        <v>113.32</v>
      </c>
      <c r="K52" s="955">
        <f t="shared" si="3"/>
        <v>22489.01</v>
      </c>
      <c r="L52" s="955" t="s">
        <v>430</v>
      </c>
      <c r="M52" s="955" t="s">
        <v>430</v>
      </c>
      <c r="N52" s="955" t="s">
        <v>430</v>
      </c>
      <c r="O52" s="955" t="s">
        <v>430</v>
      </c>
      <c r="P52" s="1126" t="s">
        <v>749</v>
      </c>
    </row>
    <row r="53" spans="1:18" s="8" customFormat="1" ht="11.25" customHeight="1">
      <c r="A53" s="705"/>
      <c r="B53" s="864"/>
      <c r="C53" s="864"/>
      <c r="D53" s="864"/>
      <c r="E53" s="864"/>
      <c r="F53" s="864"/>
      <c r="G53" s="864"/>
      <c r="H53" s="9"/>
      <c r="I53" s="9"/>
      <c r="J53" s="2197" t="s">
        <v>1741</v>
      </c>
      <c r="K53" s="2039"/>
      <c r="L53" s="2039"/>
      <c r="M53" s="2039"/>
      <c r="N53" s="2039"/>
      <c r="O53" s="2039"/>
      <c r="P53" s="2039"/>
    </row>
    <row r="54" spans="1:18" ht="11.25" customHeight="1">
      <c r="A54" s="19"/>
      <c r="B54" s="8"/>
      <c r="C54" s="8"/>
      <c r="D54" s="8"/>
      <c r="E54" s="8"/>
      <c r="F54" s="105"/>
      <c r="G54" s="8"/>
      <c r="H54" s="8"/>
      <c r="I54" s="8"/>
      <c r="J54" s="2039" t="s">
        <v>1742</v>
      </c>
      <c r="K54" s="2039"/>
      <c r="L54" s="2039"/>
      <c r="M54" s="2039"/>
      <c r="N54" s="2039"/>
      <c r="O54" s="2039"/>
      <c r="P54" s="2039"/>
    </row>
    <row r="55" spans="1:18" ht="10.5" customHeight="1">
      <c r="B55" s="589"/>
      <c r="C55" s="589"/>
      <c r="D55" s="589"/>
      <c r="E55" s="589"/>
      <c r="F55" s="105"/>
      <c r="G55" s="589"/>
      <c r="H55" s="589"/>
      <c r="I55" s="589"/>
      <c r="J55" s="589"/>
      <c r="K55" s="589"/>
    </row>
    <row r="56" spans="1:18" ht="9" customHeight="1">
      <c r="F56" s="105"/>
      <c r="J56" s="589"/>
      <c r="K56" s="325"/>
    </row>
    <row r="57" spans="1:18">
      <c r="F57" s="105"/>
      <c r="J57" s="589"/>
      <c r="K57" s="325"/>
      <c r="L57" s="589"/>
    </row>
    <row r="58" spans="1:18">
      <c r="B58" s="589"/>
      <c r="C58" s="589"/>
      <c r="D58" s="589"/>
      <c r="E58" s="589"/>
      <c r="F58" s="105"/>
      <c r="G58" s="589"/>
      <c r="H58" s="589"/>
      <c r="I58" s="589"/>
      <c r="J58" s="589"/>
      <c r="K58" s="325"/>
      <c r="L58" s="589"/>
    </row>
    <row r="59" spans="1:18">
      <c r="B59" s="589"/>
      <c r="C59" s="589"/>
      <c r="D59" s="589"/>
      <c r="E59" s="589"/>
      <c r="F59" s="105"/>
      <c r="G59" s="589"/>
      <c r="H59" s="589"/>
      <c r="I59" s="589"/>
      <c r="J59" s="589"/>
      <c r="K59" s="325"/>
      <c r="L59" s="589"/>
    </row>
    <row r="60" spans="1:18">
      <c r="F60" s="105"/>
      <c r="J60" s="589"/>
      <c r="K60" s="325"/>
      <c r="L60" s="589"/>
    </row>
    <row r="61" spans="1:18">
      <c r="F61" s="105"/>
      <c r="J61" s="589"/>
      <c r="K61" s="325"/>
      <c r="L61" s="589"/>
    </row>
    <row r="62" spans="1:18">
      <c r="F62" s="105"/>
      <c r="K62" s="325"/>
      <c r="L62" s="589"/>
    </row>
    <row r="63" spans="1:18">
      <c r="B63" s="589"/>
      <c r="C63" s="589"/>
      <c r="D63" s="589"/>
      <c r="E63" s="589"/>
      <c r="F63" s="105"/>
      <c r="G63" s="589"/>
      <c r="H63" s="589"/>
      <c r="I63" s="589"/>
      <c r="J63" s="589"/>
      <c r="K63" s="325"/>
      <c r="L63" s="589"/>
    </row>
    <row r="64" spans="1:18">
      <c r="B64" s="589"/>
      <c r="C64" s="589"/>
      <c r="D64" s="589"/>
      <c r="E64" s="589"/>
      <c r="F64" s="589"/>
      <c r="G64" s="589"/>
      <c r="H64" s="589"/>
      <c r="I64" s="589"/>
      <c r="J64" s="589"/>
      <c r="K64" s="325"/>
      <c r="L64" s="589"/>
    </row>
    <row r="65" spans="2:12">
      <c r="B65" s="589"/>
      <c r="C65" s="589"/>
      <c r="D65" s="589"/>
      <c r="E65" s="589"/>
      <c r="F65" s="589"/>
      <c r="G65" s="589"/>
      <c r="H65" s="589"/>
      <c r="I65" s="589"/>
      <c r="J65" s="589"/>
      <c r="K65" s="325"/>
      <c r="L65" s="589"/>
    </row>
    <row r="66" spans="2:12">
      <c r="B66" s="589"/>
      <c r="C66" s="589"/>
      <c r="D66" s="589"/>
      <c r="E66" s="589"/>
      <c r="F66" s="589"/>
      <c r="G66" s="589"/>
      <c r="H66" s="589"/>
      <c r="I66" s="589"/>
      <c r="J66" s="589"/>
      <c r="K66" s="589"/>
      <c r="L66" s="589"/>
    </row>
    <row r="67" spans="2:12">
      <c r="B67" s="589"/>
      <c r="C67" s="589"/>
      <c r="D67" s="589"/>
      <c r="E67" s="589"/>
      <c r="F67" s="589"/>
      <c r="G67" s="589"/>
      <c r="H67" s="589"/>
      <c r="I67" s="589"/>
      <c r="J67" s="589"/>
      <c r="K67" s="589"/>
    </row>
    <row r="68" spans="2:12">
      <c r="B68" s="589"/>
      <c r="C68" s="589"/>
      <c r="D68" s="589"/>
      <c r="E68" s="589"/>
      <c r="F68" s="589"/>
      <c r="G68" s="589"/>
      <c r="H68" s="589"/>
      <c r="I68" s="589"/>
      <c r="J68" s="589"/>
    </row>
  </sheetData>
  <mergeCells count="23">
    <mergeCell ref="C4:C5"/>
    <mergeCell ref="H4:I4"/>
    <mergeCell ref="D4:D5"/>
    <mergeCell ref="J53:P53"/>
    <mergeCell ref="L4:L5"/>
    <mergeCell ref="K4:K5"/>
    <mergeCell ref="M4:M5"/>
    <mergeCell ref="J54:P54"/>
    <mergeCell ref="A1:I1"/>
    <mergeCell ref="O1:P1"/>
    <mergeCell ref="A3:A5"/>
    <mergeCell ref="E4:E5"/>
    <mergeCell ref="B4:B5"/>
    <mergeCell ref="F4:G4"/>
    <mergeCell ref="L3:O3"/>
    <mergeCell ref="P3:P5"/>
    <mergeCell ref="J1:N1"/>
    <mergeCell ref="O2:P2"/>
    <mergeCell ref="J3:K3"/>
    <mergeCell ref="B3:I3"/>
    <mergeCell ref="N4:N5"/>
    <mergeCell ref="O4:O5"/>
    <mergeCell ref="J4:J5"/>
  </mergeCells>
  <phoneticPr fontId="0" type="noConversion"/>
  <pageMargins left="0.59055118110236204" right="0.511811023622047" top="0.511811023622047" bottom="0.511811023622047" header="0" footer="0.35433070866141703"/>
  <pageSetup paperSize="448" firstPageNumber="102" orientation="portrait" useFirstPageNumber="1" r:id="rId1"/>
  <headerFooter alignWithMargins="0">
    <oddFooter>&amp;C&amp;"Times New Roman,Regular"&amp;8&amp;P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S48"/>
  <sheetViews>
    <sheetView tabSelected="1" zoomScale="120" zoomScaleNormal="120" workbookViewId="0">
      <pane xSplit="1" ySplit="5" topLeftCell="B36" activePane="bottomRight" state="frozen"/>
      <selection activeCell="L47" sqref="L47"/>
      <selection pane="topRight" activeCell="L47" sqref="L47"/>
      <selection pane="bottomLeft" activeCell="L47" sqref="L47"/>
      <selection pane="bottomRight" activeCell="K44" sqref="K44"/>
    </sheetView>
  </sheetViews>
  <sheetFormatPr defaultColWidth="8.85546875" defaultRowHeight="15"/>
  <cols>
    <col min="1" max="1" width="8.140625" style="934" customWidth="1"/>
    <col min="2" max="2" width="8.42578125" style="934" customWidth="1"/>
    <col min="3" max="3" width="11.42578125" style="934" customWidth="1"/>
    <col min="4" max="5" width="8.85546875" style="934"/>
    <col min="6" max="6" width="8.42578125" style="934" customWidth="1"/>
    <col min="7" max="8" width="8.85546875" style="934"/>
    <col min="9" max="9" width="9.28515625" style="934" customWidth="1"/>
    <col min="10" max="10" width="7.5703125" style="934" customWidth="1"/>
    <col min="11" max="11" width="8.140625" style="934" customWidth="1"/>
    <col min="12" max="12" width="9" style="934" customWidth="1"/>
    <col min="13" max="13" width="8.85546875" style="934"/>
    <col min="14" max="14" width="8.140625" style="934" customWidth="1"/>
    <col min="15" max="15" width="6.28515625" style="934" customWidth="1"/>
    <col min="16" max="16" width="8.140625" style="934" customWidth="1"/>
    <col min="17" max="17" width="7.85546875" style="934" customWidth="1"/>
    <col min="18" max="16384" width="8.85546875" style="934"/>
  </cols>
  <sheetData>
    <row r="1" spans="1:19" s="932" customFormat="1" ht="17.45" customHeight="1">
      <c r="A1" s="931"/>
      <c r="G1" s="941" t="s">
        <v>1889</v>
      </c>
      <c r="I1" s="933"/>
      <c r="J1" s="941" t="s">
        <v>1890</v>
      </c>
      <c r="K1" s="942"/>
      <c r="L1" s="933"/>
      <c r="M1" s="933"/>
      <c r="R1" s="2270" t="s">
        <v>2057</v>
      </c>
      <c r="S1" s="2270"/>
    </row>
    <row r="2" spans="1:19" ht="21">
      <c r="C2" s="935"/>
      <c r="R2" s="2271" t="s">
        <v>2055</v>
      </c>
      <c r="S2" s="2271"/>
    </row>
    <row r="3" spans="1:19" ht="13.9" customHeight="1">
      <c r="A3" s="2280" t="s">
        <v>657</v>
      </c>
      <c r="B3" s="2272" t="s">
        <v>664</v>
      </c>
      <c r="C3" s="2272" t="s">
        <v>1879</v>
      </c>
      <c r="D3" s="2274" t="s">
        <v>1872</v>
      </c>
      <c r="E3" s="2274"/>
      <c r="F3" s="2274"/>
      <c r="G3" s="2276" t="s">
        <v>1857</v>
      </c>
      <c r="H3" s="2277" t="s">
        <v>1873</v>
      </c>
      <c r="I3" s="2278"/>
      <c r="J3" s="2278"/>
      <c r="K3" s="2278"/>
      <c r="L3" s="2279"/>
      <c r="M3" s="2276" t="s">
        <v>1901</v>
      </c>
      <c r="N3" s="2276" t="s">
        <v>1902</v>
      </c>
      <c r="O3" s="2276" t="s">
        <v>1858</v>
      </c>
      <c r="P3" s="2275" t="s">
        <v>1859</v>
      </c>
      <c r="Q3" s="2276" t="s">
        <v>1860</v>
      </c>
      <c r="R3" s="2276" t="s">
        <v>1861</v>
      </c>
      <c r="S3" s="2276" t="s">
        <v>1862</v>
      </c>
    </row>
    <row r="4" spans="1:19" ht="90.75" customHeight="1">
      <c r="A4" s="2280"/>
      <c r="B4" s="2273"/>
      <c r="C4" s="2273"/>
      <c r="D4" s="940" t="s">
        <v>1880</v>
      </c>
      <c r="E4" s="1542" t="s">
        <v>1878</v>
      </c>
      <c r="F4" s="1542" t="s">
        <v>1876</v>
      </c>
      <c r="G4" s="2276"/>
      <c r="H4" s="1542" t="s">
        <v>141</v>
      </c>
      <c r="I4" s="1542" t="s">
        <v>1893</v>
      </c>
      <c r="J4" s="1542" t="s">
        <v>1900</v>
      </c>
      <c r="K4" s="1542" t="s">
        <v>2056</v>
      </c>
      <c r="L4" s="1542" t="s">
        <v>1877</v>
      </c>
      <c r="M4" s="2276"/>
      <c r="N4" s="2276"/>
      <c r="O4" s="2276"/>
      <c r="P4" s="2275"/>
      <c r="Q4" s="2276"/>
      <c r="R4" s="2276"/>
      <c r="S4" s="2276"/>
    </row>
    <row r="5" spans="1:19" ht="17.25" customHeight="1">
      <c r="A5" s="2280"/>
      <c r="B5" s="940">
        <v>1</v>
      </c>
      <c r="C5" s="940">
        <v>2</v>
      </c>
      <c r="D5" s="940">
        <v>3</v>
      </c>
      <c r="E5" s="940">
        <v>4</v>
      </c>
      <c r="F5" s="940">
        <v>5</v>
      </c>
      <c r="G5" s="940">
        <v>6</v>
      </c>
      <c r="H5" s="940">
        <v>7</v>
      </c>
      <c r="I5" s="940">
        <v>8</v>
      </c>
      <c r="J5" s="940">
        <v>9</v>
      </c>
      <c r="K5" s="940">
        <v>10</v>
      </c>
      <c r="L5" s="940">
        <v>11</v>
      </c>
      <c r="M5" s="940">
        <v>12</v>
      </c>
      <c r="N5" s="940">
        <v>13</v>
      </c>
      <c r="O5" s="940">
        <v>14</v>
      </c>
      <c r="P5" s="940">
        <v>15</v>
      </c>
      <c r="Q5" s="940">
        <v>16</v>
      </c>
      <c r="R5" s="940">
        <v>17</v>
      </c>
      <c r="S5" s="940">
        <v>18</v>
      </c>
    </row>
    <row r="6" spans="1:19" s="1199" customFormat="1" ht="11.1" customHeight="1">
      <c r="A6" s="958" t="s">
        <v>1904</v>
      </c>
      <c r="B6" s="1181">
        <f>B18</f>
        <v>2571956</v>
      </c>
      <c r="C6" s="1181">
        <f t="shared" ref="C6:S6" si="0">C18</f>
        <v>70311</v>
      </c>
      <c r="D6" s="1181">
        <f t="shared" si="0"/>
        <v>321534</v>
      </c>
      <c r="E6" s="1181">
        <f t="shared" si="0"/>
        <v>106459</v>
      </c>
      <c r="F6" s="1181">
        <f t="shared" si="0"/>
        <v>215075</v>
      </c>
      <c r="G6" s="1181">
        <f t="shared" si="0"/>
        <v>55377</v>
      </c>
      <c r="H6" s="1181">
        <f t="shared" si="0"/>
        <v>1688583</v>
      </c>
      <c r="I6" s="1181">
        <f t="shared" si="0"/>
        <v>757875</v>
      </c>
      <c r="J6" s="1181">
        <f t="shared" si="0"/>
        <v>131</v>
      </c>
      <c r="K6" s="1181">
        <f t="shared" si="0"/>
        <v>0</v>
      </c>
      <c r="L6" s="1181">
        <f t="shared" si="0"/>
        <v>2446589</v>
      </c>
      <c r="M6" s="1181">
        <f t="shared" si="0"/>
        <v>4118</v>
      </c>
      <c r="N6" s="1181">
        <f t="shared" si="0"/>
        <v>0</v>
      </c>
      <c r="O6" s="1181">
        <f t="shared" si="0"/>
        <v>0</v>
      </c>
      <c r="P6" s="1181">
        <f t="shared" si="0"/>
        <v>0</v>
      </c>
      <c r="Q6" s="1181">
        <f t="shared" si="0"/>
        <v>0</v>
      </c>
      <c r="R6" s="1181">
        <f t="shared" si="0"/>
        <v>335486</v>
      </c>
      <c r="S6" s="1181">
        <f t="shared" si="0"/>
        <v>126526</v>
      </c>
    </row>
    <row r="7" spans="1:19" s="1199" customFormat="1" ht="11.1" customHeight="1">
      <c r="A7" s="1198" t="s">
        <v>742</v>
      </c>
      <c r="B7" s="1201">
        <v>2519743</v>
      </c>
      <c r="C7" s="1201">
        <v>67439</v>
      </c>
      <c r="D7" s="1201">
        <v>153452</v>
      </c>
      <c r="E7" s="1201">
        <v>132478</v>
      </c>
      <c r="F7" s="1201">
        <f t="shared" ref="F7:F41" si="1">D7-E7</f>
        <v>20974</v>
      </c>
      <c r="G7" s="1201">
        <v>57153</v>
      </c>
      <c r="H7" s="1201">
        <v>1494928</v>
      </c>
      <c r="I7" s="1201">
        <v>702360</v>
      </c>
      <c r="J7" s="1201">
        <v>121</v>
      </c>
      <c r="K7" s="1201">
        <v>0</v>
      </c>
      <c r="L7" s="1201">
        <f t="shared" ref="L7:L43" si="2">H7+I7+J7+K7</f>
        <v>2197409</v>
      </c>
      <c r="M7" s="1201">
        <v>3724</v>
      </c>
      <c r="N7" s="1201">
        <v>0</v>
      </c>
      <c r="O7" s="1201">
        <v>0</v>
      </c>
      <c r="P7" s="1201">
        <v>0</v>
      </c>
      <c r="Q7" s="1201">
        <v>0</v>
      </c>
      <c r="R7" s="1201">
        <v>305789</v>
      </c>
      <c r="S7" s="1201">
        <v>158387</v>
      </c>
    </row>
    <row r="8" spans="1:19" s="1199" customFormat="1" ht="11.1" customHeight="1">
      <c r="A8" s="1197" t="s">
        <v>743</v>
      </c>
      <c r="B8" s="1178">
        <v>2546772</v>
      </c>
      <c r="C8" s="1178">
        <v>66792</v>
      </c>
      <c r="D8" s="1178">
        <v>193758</v>
      </c>
      <c r="E8" s="1178">
        <v>123476</v>
      </c>
      <c r="F8" s="1178">
        <f t="shared" si="1"/>
        <v>70282</v>
      </c>
      <c r="G8" s="1178">
        <v>57011</v>
      </c>
      <c r="H8" s="1178">
        <v>1660591</v>
      </c>
      <c r="I8" s="1178">
        <v>667771</v>
      </c>
      <c r="J8" s="1178">
        <v>70</v>
      </c>
      <c r="K8" s="1178">
        <v>0</v>
      </c>
      <c r="L8" s="1178">
        <f t="shared" si="2"/>
        <v>2328432</v>
      </c>
      <c r="M8" s="1178">
        <v>4038</v>
      </c>
      <c r="N8" s="1178">
        <v>0</v>
      </c>
      <c r="O8" s="1178">
        <v>0</v>
      </c>
      <c r="P8" s="1178">
        <v>0</v>
      </c>
      <c r="Q8" s="1178">
        <v>0</v>
      </c>
      <c r="R8" s="1178">
        <v>308350</v>
      </c>
      <c r="S8" s="1178">
        <v>100037</v>
      </c>
    </row>
    <row r="9" spans="1:19" s="1199" customFormat="1" ht="11.1" customHeight="1">
      <c r="A9" s="1198" t="s">
        <v>737</v>
      </c>
      <c r="B9" s="1179">
        <v>2517324</v>
      </c>
      <c r="C9" s="1179">
        <v>67296</v>
      </c>
      <c r="D9" s="1179">
        <v>148759</v>
      </c>
      <c r="E9" s="1179">
        <v>143554</v>
      </c>
      <c r="F9" s="1179">
        <f t="shared" si="1"/>
        <v>5205</v>
      </c>
      <c r="G9" s="1179">
        <v>56564</v>
      </c>
      <c r="H9" s="1179">
        <v>1539960</v>
      </c>
      <c r="I9" s="1179">
        <v>729547</v>
      </c>
      <c r="J9" s="1179">
        <v>111</v>
      </c>
      <c r="K9" s="1179">
        <v>0</v>
      </c>
      <c r="L9" s="1179">
        <f t="shared" si="2"/>
        <v>2269618</v>
      </c>
      <c r="M9" s="1179">
        <v>5911</v>
      </c>
      <c r="N9" s="1179">
        <v>0</v>
      </c>
      <c r="O9" s="1179">
        <v>0</v>
      </c>
      <c r="P9" s="1179">
        <v>0</v>
      </c>
      <c r="Q9" s="1179">
        <v>0</v>
      </c>
      <c r="R9" s="1179">
        <v>309555</v>
      </c>
      <c r="S9" s="1179">
        <v>61305</v>
      </c>
    </row>
    <row r="10" spans="1:19" s="1199" customFormat="1" ht="11.1" customHeight="1">
      <c r="A10" s="1197" t="s">
        <v>744</v>
      </c>
      <c r="B10" s="1178">
        <v>2481543</v>
      </c>
      <c r="C10" s="1178">
        <v>67032</v>
      </c>
      <c r="D10" s="1178">
        <v>166447</v>
      </c>
      <c r="E10" s="1178">
        <v>123970</v>
      </c>
      <c r="F10" s="1178">
        <f t="shared" si="1"/>
        <v>42477</v>
      </c>
      <c r="G10" s="1178">
        <v>56280</v>
      </c>
      <c r="H10" s="1178">
        <v>1509006</v>
      </c>
      <c r="I10" s="1178">
        <v>756847</v>
      </c>
      <c r="J10" s="1178">
        <v>93</v>
      </c>
      <c r="K10" s="1178">
        <v>0</v>
      </c>
      <c r="L10" s="1178">
        <f t="shared" si="2"/>
        <v>2265946</v>
      </c>
      <c r="M10" s="1178">
        <v>7601</v>
      </c>
      <c r="N10" s="1178">
        <v>0</v>
      </c>
      <c r="O10" s="1178">
        <v>0</v>
      </c>
      <c r="P10" s="1178">
        <v>0</v>
      </c>
      <c r="Q10" s="1178">
        <v>0</v>
      </c>
      <c r="R10" s="1178">
        <v>309760</v>
      </c>
      <c r="S10" s="1178">
        <v>64025</v>
      </c>
    </row>
    <row r="11" spans="1:19" s="1199" customFormat="1" ht="11.1" customHeight="1">
      <c r="A11" s="1198" t="s">
        <v>745</v>
      </c>
      <c r="B11" s="1179">
        <v>2453091</v>
      </c>
      <c r="C11" s="1179">
        <v>69091</v>
      </c>
      <c r="D11" s="1179">
        <v>184323</v>
      </c>
      <c r="E11" s="1179">
        <v>134044</v>
      </c>
      <c r="F11" s="1179">
        <f t="shared" si="1"/>
        <v>50279</v>
      </c>
      <c r="G11" s="1179">
        <v>56129</v>
      </c>
      <c r="H11" s="1179">
        <v>1507507</v>
      </c>
      <c r="I11" s="1179">
        <v>730455</v>
      </c>
      <c r="J11" s="1179">
        <v>101</v>
      </c>
      <c r="K11" s="1179">
        <v>0</v>
      </c>
      <c r="L11" s="1179">
        <f t="shared" si="2"/>
        <v>2238063</v>
      </c>
      <c r="M11" s="1179">
        <v>5774</v>
      </c>
      <c r="N11" s="1179">
        <v>0</v>
      </c>
      <c r="O11" s="1179">
        <v>0</v>
      </c>
      <c r="P11" s="1179">
        <v>0</v>
      </c>
      <c r="Q11" s="1179">
        <v>0</v>
      </c>
      <c r="R11" s="1179">
        <v>316466</v>
      </c>
      <c r="S11" s="1179">
        <v>68287</v>
      </c>
    </row>
    <row r="12" spans="1:19" s="1199" customFormat="1" ht="11.1" customHeight="1">
      <c r="A12" s="1197" t="s">
        <v>738</v>
      </c>
      <c r="B12" s="1178">
        <v>2476919</v>
      </c>
      <c r="C12" s="1178">
        <v>75528</v>
      </c>
      <c r="D12" s="1178">
        <v>230826</v>
      </c>
      <c r="E12" s="1178">
        <v>122877</v>
      </c>
      <c r="F12" s="1178">
        <f t="shared" si="1"/>
        <v>107949</v>
      </c>
      <c r="G12" s="1178">
        <v>56662</v>
      </c>
      <c r="H12" s="1178">
        <v>1568330</v>
      </c>
      <c r="I12" s="1178">
        <v>762870</v>
      </c>
      <c r="J12" s="1178">
        <v>99</v>
      </c>
      <c r="K12" s="1178">
        <v>0</v>
      </c>
      <c r="L12" s="1178">
        <f t="shared" si="2"/>
        <v>2331299</v>
      </c>
      <c r="M12" s="1178">
        <v>10971</v>
      </c>
      <c r="N12" s="1178">
        <v>0</v>
      </c>
      <c r="O12" s="1178">
        <v>0</v>
      </c>
      <c r="P12" s="1178">
        <v>0</v>
      </c>
      <c r="Q12" s="1178">
        <v>0</v>
      </c>
      <c r="R12" s="1178">
        <v>316950</v>
      </c>
      <c r="S12" s="1178">
        <v>57838</v>
      </c>
    </row>
    <row r="13" spans="1:19" s="1199" customFormat="1" ht="11.1" customHeight="1">
      <c r="A13" s="1198" t="s">
        <v>746</v>
      </c>
      <c r="B13" s="1179">
        <v>2455646</v>
      </c>
      <c r="C13" s="1179">
        <v>68645</v>
      </c>
      <c r="D13" s="1179">
        <v>210506</v>
      </c>
      <c r="E13" s="1179">
        <v>136810</v>
      </c>
      <c r="F13" s="1179">
        <f t="shared" si="1"/>
        <v>73696</v>
      </c>
      <c r="G13" s="1179">
        <v>56124</v>
      </c>
      <c r="H13" s="1179">
        <v>1558273</v>
      </c>
      <c r="I13" s="1179">
        <v>706536</v>
      </c>
      <c r="J13" s="1179">
        <v>182</v>
      </c>
      <c r="K13" s="1179">
        <v>0</v>
      </c>
      <c r="L13" s="1179">
        <f t="shared" si="2"/>
        <v>2264991</v>
      </c>
      <c r="M13" s="1179">
        <v>9026</v>
      </c>
      <c r="N13" s="1179">
        <v>0</v>
      </c>
      <c r="O13" s="1179">
        <v>0</v>
      </c>
      <c r="P13" s="1179">
        <v>0</v>
      </c>
      <c r="Q13" s="1179">
        <v>0</v>
      </c>
      <c r="R13" s="1179">
        <v>334837</v>
      </c>
      <c r="S13" s="1179">
        <v>45257</v>
      </c>
    </row>
    <row r="14" spans="1:19" s="1199" customFormat="1" ht="11.1" customHeight="1">
      <c r="A14" s="1197" t="s">
        <v>747</v>
      </c>
      <c r="B14" s="1178">
        <v>2503230</v>
      </c>
      <c r="C14" s="1178">
        <v>79372</v>
      </c>
      <c r="D14" s="1178">
        <v>209128</v>
      </c>
      <c r="E14" s="1178">
        <v>173720</v>
      </c>
      <c r="F14" s="1178">
        <f t="shared" si="1"/>
        <v>35408</v>
      </c>
      <c r="G14" s="1178">
        <v>55070</v>
      </c>
      <c r="H14" s="1178">
        <v>1574073</v>
      </c>
      <c r="I14" s="1178">
        <v>677987</v>
      </c>
      <c r="J14" s="1178">
        <v>83</v>
      </c>
      <c r="K14" s="1178">
        <v>0</v>
      </c>
      <c r="L14" s="1178">
        <f t="shared" si="2"/>
        <v>2252143</v>
      </c>
      <c r="M14" s="1178">
        <v>8870</v>
      </c>
      <c r="N14" s="1178">
        <v>0</v>
      </c>
      <c r="O14" s="1178">
        <v>0</v>
      </c>
      <c r="P14" s="1178">
        <v>0</v>
      </c>
      <c r="Q14" s="1178">
        <v>0</v>
      </c>
      <c r="R14" s="1178">
        <v>346024</v>
      </c>
      <c r="S14" s="1178">
        <v>66043</v>
      </c>
    </row>
    <row r="15" spans="1:19" s="1200" customFormat="1" ht="11.1" customHeight="1">
      <c r="A15" s="1198" t="s">
        <v>739</v>
      </c>
      <c r="B15" s="1179">
        <v>2513947</v>
      </c>
      <c r="C15" s="1179">
        <v>85621</v>
      </c>
      <c r="D15" s="1179">
        <v>191228</v>
      </c>
      <c r="E15" s="1179">
        <v>172042</v>
      </c>
      <c r="F15" s="1179">
        <f t="shared" si="1"/>
        <v>19186</v>
      </c>
      <c r="G15" s="1179">
        <v>55538</v>
      </c>
      <c r="H15" s="1179">
        <v>1579718</v>
      </c>
      <c r="I15" s="1179">
        <v>655792</v>
      </c>
      <c r="J15" s="1179">
        <v>108</v>
      </c>
      <c r="K15" s="1179">
        <v>0</v>
      </c>
      <c r="L15" s="1179">
        <f t="shared" si="2"/>
        <v>2235618</v>
      </c>
      <c r="M15" s="1179">
        <v>8729</v>
      </c>
      <c r="N15" s="1179">
        <v>0</v>
      </c>
      <c r="O15" s="1179">
        <v>0</v>
      </c>
      <c r="P15" s="1179">
        <v>0</v>
      </c>
      <c r="Q15" s="1179">
        <v>0</v>
      </c>
      <c r="R15" s="1179">
        <v>343152</v>
      </c>
      <c r="S15" s="1179">
        <v>86793</v>
      </c>
    </row>
    <row r="16" spans="1:19" s="1200" customFormat="1" ht="11.1" customHeight="1">
      <c r="A16" s="1197" t="s">
        <v>748</v>
      </c>
      <c r="B16" s="1178">
        <v>2496379</v>
      </c>
      <c r="C16" s="1178">
        <v>72982</v>
      </c>
      <c r="D16" s="1178">
        <v>193566</v>
      </c>
      <c r="E16" s="1178">
        <v>127991</v>
      </c>
      <c r="F16" s="1178">
        <f t="shared" si="1"/>
        <v>65575</v>
      </c>
      <c r="G16" s="1178">
        <v>55304</v>
      </c>
      <c r="H16" s="1178">
        <v>1572639</v>
      </c>
      <c r="I16" s="1178">
        <v>681794</v>
      </c>
      <c r="J16" s="1178">
        <v>209</v>
      </c>
      <c r="K16" s="1178">
        <v>0</v>
      </c>
      <c r="L16" s="1178">
        <f t="shared" si="2"/>
        <v>2254642</v>
      </c>
      <c r="M16" s="1178">
        <v>11119</v>
      </c>
      <c r="N16" s="1178">
        <v>0</v>
      </c>
      <c r="O16" s="1178">
        <v>0</v>
      </c>
      <c r="P16" s="1178">
        <v>0</v>
      </c>
      <c r="Q16" s="1178">
        <v>0</v>
      </c>
      <c r="R16" s="1178">
        <v>351251</v>
      </c>
      <c r="S16" s="1178">
        <v>73228</v>
      </c>
    </row>
    <row r="17" spans="1:19" s="1200" customFormat="1" ht="11.1" customHeight="1">
      <c r="A17" s="1198" t="s">
        <v>749</v>
      </c>
      <c r="B17" s="1179">
        <v>2487366</v>
      </c>
      <c r="C17" s="1179">
        <v>93646</v>
      </c>
      <c r="D17" s="1179">
        <v>337205</v>
      </c>
      <c r="E17" s="1179">
        <v>92494</v>
      </c>
      <c r="F17" s="1179">
        <f t="shared" si="1"/>
        <v>244711</v>
      </c>
      <c r="G17" s="1179">
        <v>55197</v>
      </c>
      <c r="H17" s="1179">
        <v>1782379</v>
      </c>
      <c r="I17" s="1179">
        <v>658927</v>
      </c>
      <c r="J17" s="1179">
        <v>135</v>
      </c>
      <c r="K17" s="1179">
        <v>0</v>
      </c>
      <c r="L17" s="1179">
        <f t="shared" si="2"/>
        <v>2441441</v>
      </c>
      <c r="M17" s="1179">
        <v>9621</v>
      </c>
      <c r="N17" s="1179">
        <v>0</v>
      </c>
      <c r="O17" s="1179">
        <v>0</v>
      </c>
      <c r="P17" s="1179">
        <v>0</v>
      </c>
      <c r="Q17" s="1179">
        <v>0</v>
      </c>
      <c r="R17" s="1179">
        <v>354036</v>
      </c>
      <c r="S17" s="1179">
        <v>75822</v>
      </c>
    </row>
    <row r="18" spans="1:19" s="1200" customFormat="1" ht="11.1" customHeight="1">
      <c r="A18" s="1197" t="s">
        <v>740</v>
      </c>
      <c r="B18" s="1178">
        <v>2571956</v>
      </c>
      <c r="C18" s="1178">
        <v>70311</v>
      </c>
      <c r="D18" s="1178">
        <v>321534</v>
      </c>
      <c r="E18" s="1178">
        <v>106459</v>
      </c>
      <c r="F18" s="1178">
        <f t="shared" si="1"/>
        <v>215075</v>
      </c>
      <c r="G18" s="1178">
        <v>55377</v>
      </c>
      <c r="H18" s="1178">
        <v>1688583</v>
      </c>
      <c r="I18" s="1178">
        <v>757875</v>
      </c>
      <c r="J18" s="1178">
        <v>131</v>
      </c>
      <c r="K18" s="1178">
        <v>0</v>
      </c>
      <c r="L18" s="1178">
        <f t="shared" si="2"/>
        <v>2446589</v>
      </c>
      <c r="M18" s="1178">
        <v>4118</v>
      </c>
      <c r="N18" s="1178">
        <v>0</v>
      </c>
      <c r="O18" s="1178">
        <v>0</v>
      </c>
      <c r="P18" s="1178">
        <v>0</v>
      </c>
      <c r="Q18" s="1178">
        <v>0</v>
      </c>
      <c r="R18" s="1178">
        <v>335486</v>
      </c>
      <c r="S18" s="1178">
        <v>126526</v>
      </c>
    </row>
    <row r="19" spans="1:19" s="1200" customFormat="1" ht="11.1" customHeight="1">
      <c r="A19" s="1196" t="s">
        <v>2017</v>
      </c>
      <c r="B19" s="1180">
        <f>B31</f>
        <v>2860409</v>
      </c>
      <c r="C19" s="1180">
        <f t="shared" ref="C19:S19" si="3">C31</f>
        <v>159226</v>
      </c>
      <c r="D19" s="1180">
        <f t="shared" si="3"/>
        <v>472019</v>
      </c>
      <c r="E19" s="1180">
        <f t="shared" si="3"/>
        <v>149558</v>
      </c>
      <c r="F19" s="1180">
        <f t="shared" si="3"/>
        <v>322461</v>
      </c>
      <c r="G19" s="1180">
        <f t="shared" si="3"/>
        <v>57520</v>
      </c>
      <c r="H19" s="1180">
        <f t="shared" si="3"/>
        <v>2065522</v>
      </c>
      <c r="I19" s="1180">
        <f t="shared" si="3"/>
        <v>763604</v>
      </c>
      <c r="J19" s="1180">
        <f t="shared" si="3"/>
        <v>289</v>
      </c>
      <c r="K19" s="1180">
        <f t="shared" si="3"/>
        <v>0</v>
      </c>
      <c r="L19" s="1180">
        <f t="shared" si="3"/>
        <v>2829415</v>
      </c>
      <c r="M19" s="1180">
        <f t="shared" si="3"/>
        <v>12725</v>
      </c>
      <c r="N19" s="1180">
        <f t="shared" si="3"/>
        <v>0</v>
      </c>
      <c r="O19" s="1180">
        <f t="shared" si="3"/>
        <v>0</v>
      </c>
      <c r="P19" s="1180">
        <f t="shared" si="3"/>
        <v>0</v>
      </c>
      <c r="Q19" s="1180">
        <f t="shared" si="3"/>
        <v>0</v>
      </c>
      <c r="R19" s="1180">
        <f t="shared" si="3"/>
        <v>364936</v>
      </c>
      <c r="S19" s="1180">
        <f t="shared" si="3"/>
        <v>192540</v>
      </c>
    </row>
    <row r="20" spans="1:19" s="1200" customFormat="1" ht="11.1" customHeight="1">
      <c r="A20" s="1197" t="s">
        <v>742</v>
      </c>
      <c r="B20" s="1178">
        <v>2556568</v>
      </c>
      <c r="C20" s="1178">
        <v>70382</v>
      </c>
      <c r="D20" s="1178">
        <v>320886</v>
      </c>
      <c r="E20" s="1178">
        <v>123121</v>
      </c>
      <c r="F20" s="1178">
        <f t="shared" si="1"/>
        <v>197765</v>
      </c>
      <c r="G20" s="1178">
        <v>55402</v>
      </c>
      <c r="H20" s="1178">
        <v>1708957</v>
      </c>
      <c r="I20" s="1178">
        <v>711011</v>
      </c>
      <c r="J20" s="1178">
        <v>243</v>
      </c>
      <c r="K20" s="1178">
        <v>0</v>
      </c>
      <c r="L20" s="1178">
        <f t="shared" si="2"/>
        <v>2420211</v>
      </c>
      <c r="M20" s="1178">
        <v>4351</v>
      </c>
      <c r="N20" s="1178">
        <v>0</v>
      </c>
      <c r="O20" s="1178">
        <v>0</v>
      </c>
      <c r="P20" s="1178">
        <v>0</v>
      </c>
      <c r="Q20" s="1178">
        <v>0</v>
      </c>
      <c r="R20" s="1178">
        <v>331535</v>
      </c>
      <c r="S20" s="1178">
        <v>124020</v>
      </c>
    </row>
    <row r="21" spans="1:19" s="1200" customFormat="1" ht="11.1" customHeight="1">
      <c r="A21" s="1198" t="s">
        <v>743</v>
      </c>
      <c r="B21" s="1179">
        <v>2575489</v>
      </c>
      <c r="C21" s="1179">
        <v>100786</v>
      </c>
      <c r="D21" s="1179">
        <v>371301</v>
      </c>
      <c r="E21" s="1179">
        <v>170238</v>
      </c>
      <c r="F21" s="1179">
        <f t="shared" si="1"/>
        <v>201063</v>
      </c>
      <c r="G21" s="1179">
        <v>55575</v>
      </c>
      <c r="H21" s="1179">
        <v>1786271</v>
      </c>
      <c r="I21" s="1179">
        <v>712185</v>
      </c>
      <c r="J21" s="1179">
        <v>80</v>
      </c>
      <c r="K21" s="1179">
        <v>0</v>
      </c>
      <c r="L21" s="1179">
        <f t="shared" si="2"/>
        <v>2498536</v>
      </c>
      <c r="M21" s="1179">
        <v>4096</v>
      </c>
      <c r="N21" s="1179">
        <v>0</v>
      </c>
      <c r="O21" s="1179">
        <v>0</v>
      </c>
      <c r="P21" s="1179">
        <v>0</v>
      </c>
      <c r="Q21" s="1179">
        <v>0</v>
      </c>
      <c r="R21" s="1179">
        <v>337162</v>
      </c>
      <c r="S21" s="1179">
        <v>93119</v>
      </c>
    </row>
    <row r="22" spans="1:19" s="1200" customFormat="1" ht="11.1" customHeight="1">
      <c r="A22" s="1197" t="s">
        <v>737</v>
      </c>
      <c r="B22" s="1178">
        <v>2546112</v>
      </c>
      <c r="C22" s="1178">
        <v>80446</v>
      </c>
      <c r="D22" s="1178">
        <v>344388</v>
      </c>
      <c r="E22" s="1178">
        <v>150859</v>
      </c>
      <c r="F22" s="1178">
        <f t="shared" si="1"/>
        <v>193529</v>
      </c>
      <c r="G22" s="1178">
        <v>55671</v>
      </c>
      <c r="H22" s="1178">
        <v>1724113</v>
      </c>
      <c r="I22" s="1178">
        <v>732338</v>
      </c>
      <c r="J22" s="1178">
        <v>74</v>
      </c>
      <c r="K22" s="1178">
        <v>0</v>
      </c>
      <c r="L22" s="1178">
        <f t="shared" si="2"/>
        <v>2456525</v>
      </c>
      <c r="M22" s="1178">
        <v>3947</v>
      </c>
      <c r="N22" s="1178">
        <v>0</v>
      </c>
      <c r="O22" s="1178">
        <v>0</v>
      </c>
      <c r="P22" s="1178">
        <v>0</v>
      </c>
      <c r="Q22" s="1178">
        <v>0</v>
      </c>
      <c r="R22" s="1178">
        <v>344426</v>
      </c>
      <c r="S22" s="1178">
        <v>70860</v>
      </c>
    </row>
    <row r="23" spans="1:19" s="1200" customFormat="1" ht="11.1" customHeight="1">
      <c r="A23" s="1198" t="s">
        <v>744</v>
      </c>
      <c r="B23" s="1179">
        <v>2560118</v>
      </c>
      <c r="C23" s="1179">
        <v>74123</v>
      </c>
      <c r="D23" s="1179">
        <v>403182</v>
      </c>
      <c r="E23" s="1179">
        <v>154739</v>
      </c>
      <c r="F23" s="1179">
        <f t="shared" si="1"/>
        <v>248443</v>
      </c>
      <c r="G23" s="1179">
        <v>55891</v>
      </c>
      <c r="H23" s="1179">
        <v>1672101</v>
      </c>
      <c r="I23" s="1179">
        <v>822839</v>
      </c>
      <c r="J23" s="1179">
        <v>89</v>
      </c>
      <c r="K23" s="1179">
        <v>0</v>
      </c>
      <c r="L23" s="1179">
        <f t="shared" si="2"/>
        <v>2495029</v>
      </c>
      <c r="M23" s="1179">
        <v>5777</v>
      </c>
      <c r="N23" s="1179">
        <v>0</v>
      </c>
      <c r="O23" s="1179">
        <v>0</v>
      </c>
      <c r="P23" s="1179">
        <v>0</v>
      </c>
      <c r="Q23" s="1179">
        <v>0</v>
      </c>
      <c r="R23" s="1179">
        <v>363791</v>
      </c>
      <c r="S23" s="1179">
        <v>73978</v>
      </c>
    </row>
    <row r="24" spans="1:19" s="1200" customFormat="1" ht="11.1" customHeight="1">
      <c r="A24" s="1197" t="s">
        <v>745</v>
      </c>
      <c r="B24" s="1178">
        <v>2554544</v>
      </c>
      <c r="C24" s="1178">
        <v>74788</v>
      </c>
      <c r="D24" s="1178">
        <v>380971</v>
      </c>
      <c r="E24" s="1178">
        <v>172684</v>
      </c>
      <c r="F24" s="1178">
        <f t="shared" si="1"/>
        <v>208287</v>
      </c>
      <c r="G24" s="1178">
        <v>55993</v>
      </c>
      <c r="H24" s="1178">
        <v>1674646</v>
      </c>
      <c r="I24" s="1178">
        <v>771699</v>
      </c>
      <c r="J24" s="1178">
        <v>167</v>
      </c>
      <c r="K24" s="1178">
        <v>0</v>
      </c>
      <c r="L24" s="1178">
        <f t="shared" si="2"/>
        <v>2446512</v>
      </c>
      <c r="M24" s="1178">
        <v>3981</v>
      </c>
      <c r="N24" s="1178">
        <v>0</v>
      </c>
      <c r="O24" s="1178">
        <v>0</v>
      </c>
      <c r="P24" s="1178">
        <v>0</v>
      </c>
      <c r="Q24" s="1178">
        <v>0</v>
      </c>
      <c r="R24" s="1178">
        <v>369011</v>
      </c>
      <c r="S24" s="1178">
        <v>74108</v>
      </c>
    </row>
    <row r="25" spans="1:19" s="1200" customFormat="1" ht="11.1" customHeight="1">
      <c r="A25" s="1198" t="s">
        <v>738</v>
      </c>
      <c r="B25" s="1179">
        <v>2591134</v>
      </c>
      <c r="C25" s="1179">
        <v>76429</v>
      </c>
      <c r="D25" s="1179">
        <v>425625</v>
      </c>
      <c r="E25" s="1179">
        <v>181095</v>
      </c>
      <c r="F25" s="1179">
        <f t="shared" si="1"/>
        <v>244530</v>
      </c>
      <c r="G25" s="1179">
        <v>56814</v>
      </c>
      <c r="H25" s="1179">
        <v>1703957</v>
      </c>
      <c r="I25" s="1179">
        <v>789488</v>
      </c>
      <c r="J25" s="1179">
        <v>316</v>
      </c>
      <c r="K25" s="1179">
        <v>0</v>
      </c>
      <c r="L25" s="1179">
        <f t="shared" si="2"/>
        <v>2493761</v>
      </c>
      <c r="M25" s="1179">
        <v>3645</v>
      </c>
      <c r="N25" s="1179">
        <v>0</v>
      </c>
      <c r="O25" s="1179">
        <v>0</v>
      </c>
      <c r="P25" s="1179">
        <v>0</v>
      </c>
      <c r="Q25" s="1179">
        <v>0</v>
      </c>
      <c r="R25" s="1179">
        <v>384142</v>
      </c>
      <c r="S25" s="1179">
        <v>87359</v>
      </c>
    </row>
    <row r="26" spans="1:19" s="1200" customFormat="1" ht="11.1" customHeight="1">
      <c r="A26" s="1197" t="s">
        <v>746</v>
      </c>
      <c r="B26" s="1178">
        <v>2597398</v>
      </c>
      <c r="C26" s="1178">
        <v>78298</v>
      </c>
      <c r="D26" s="1178">
        <v>415059</v>
      </c>
      <c r="E26" s="1178">
        <v>185484</v>
      </c>
      <c r="F26" s="1178">
        <f t="shared" si="1"/>
        <v>229575</v>
      </c>
      <c r="G26" s="1178">
        <v>56496</v>
      </c>
      <c r="H26" s="1178">
        <v>1718156</v>
      </c>
      <c r="I26" s="1178">
        <v>758182</v>
      </c>
      <c r="J26" s="1178">
        <v>311</v>
      </c>
      <c r="K26" s="1178">
        <v>0</v>
      </c>
      <c r="L26" s="1178">
        <f t="shared" si="2"/>
        <v>2476649</v>
      </c>
      <c r="M26" s="1178">
        <v>6251</v>
      </c>
      <c r="N26" s="1178">
        <v>0</v>
      </c>
      <c r="O26" s="1178">
        <v>0</v>
      </c>
      <c r="P26" s="1178">
        <v>0</v>
      </c>
      <c r="Q26" s="1178">
        <v>0</v>
      </c>
      <c r="R26" s="1178">
        <v>383967</v>
      </c>
      <c r="S26" s="1178">
        <v>94900</v>
      </c>
    </row>
    <row r="27" spans="1:19" s="1200" customFormat="1" ht="11.1" customHeight="1">
      <c r="A27" s="1198" t="s">
        <v>747</v>
      </c>
      <c r="B27" s="1179">
        <v>2603455</v>
      </c>
      <c r="C27" s="1179">
        <v>162431</v>
      </c>
      <c r="D27" s="1179">
        <v>349113</v>
      </c>
      <c r="E27" s="1179">
        <v>183515</v>
      </c>
      <c r="F27" s="1179">
        <f t="shared" si="1"/>
        <v>165598</v>
      </c>
      <c r="G27" s="1179">
        <v>56644</v>
      </c>
      <c r="H27" s="1179">
        <v>1736834</v>
      </c>
      <c r="I27" s="1179">
        <v>757369</v>
      </c>
      <c r="J27" s="1179">
        <v>291</v>
      </c>
      <c r="K27" s="1179">
        <v>0</v>
      </c>
      <c r="L27" s="1179">
        <f t="shared" si="2"/>
        <v>2494494</v>
      </c>
      <c r="M27" s="1179">
        <v>5529</v>
      </c>
      <c r="N27" s="1179">
        <v>0</v>
      </c>
      <c r="O27" s="1179">
        <v>0</v>
      </c>
      <c r="P27" s="1179">
        <v>0</v>
      </c>
      <c r="Q27" s="1179">
        <v>0</v>
      </c>
      <c r="R27" s="1179">
        <v>390046</v>
      </c>
      <c r="S27" s="1179">
        <v>98059</v>
      </c>
    </row>
    <row r="28" spans="1:19" s="1200" customFormat="1" ht="11.1" customHeight="1">
      <c r="A28" s="1197" t="s">
        <v>739</v>
      </c>
      <c r="B28" s="1178">
        <v>2631174</v>
      </c>
      <c r="C28" s="1178">
        <v>389854</v>
      </c>
      <c r="D28" s="1178">
        <v>303645</v>
      </c>
      <c r="E28" s="1178">
        <v>184210</v>
      </c>
      <c r="F28" s="1178">
        <f t="shared" si="1"/>
        <v>119435</v>
      </c>
      <c r="G28" s="1178">
        <v>56736</v>
      </c>
      <c r="H28" s="1178">
        <v>1903657</v>
      </c>
      <c r="I28" s="1178">
        <v>809851</v>
      </c>
      <c r="J28" s="1178">
        <v>256</v>
      </c>
      <c r="K28" s="1178">
        <v>0</v>
      </c>
      <c r="L28" s="1178">
        <f t="shared" si="2"/>
        <v>2713764</v>
      </c>
      <c r="M28" s="1178">
        <v>5516</v>
      </c>
      <c r="N28" s="1178">
        <v>0</v>
      </c>
      <c r="O28" s="1178">
        <v>0</v>
      </c>
      <c r="P28" s="1178">
        <v>0</v>
      </c>
      <c r="Q28" s="1178">
        <v>0</v>
      </c>
      <c r="R28" s="1178">
        <v>371580</v>
      </c>
      <c r="S28" s="1178">
        <v>106339</v>
      </c>
    </row>
    <row r="29" spans="1:19" s="1200" customFormat="1" ht="11.1" customHeight="1">
      <c r="A29" s="1198" t="s">
        <v>748</v>
      </c>
      <c r="B29" s="1179">
        <v>2656037</v>
      </c>
      <c r="C29" s="1179">
        <v>122992</v>
      </c>
      <c r="D29" s="1179">
        <v>409039</v>
      </c>
      <c r="E29" s="1179">
        <v>165725</v>
      </c>
      <c r="F29" s="1179">
        <f t="shared" si="1"/>
        <v>243314</v>
      </c>
      <c r="G29" s="1179">
        <v>56749</v>
      </c>
      <c r="H29" s="1179">
        <v>1921647</v>
      </c>
      <c r="I29" s="1179">
        <v>625992</v>
      </c>
      <c r="J29" s="1179">
        <v>263</v>
      </c>
      <c r="K29" s="1179">
        <v>0</v>
      </c>
      <c r="L29" s="1179">
        <f t="shared" si="2"/>
        <v>2547902</v>
      </c>
      <c r="M29" s="1179">
        <v>7560</v>
      </c>
      <c r="N29" s="1179">
        <v>0</v>
      </c>
      <c r="O29" s="1179">
        <v>0</v>
      </c>
      <c r="P29" s="1179">
        <v>0</v>
      </c>
      <c r="Q29" s="1179">
        <v>0</v>
      </c>
      <c r="R29" s="1179">
        <v>394581</v>
      </c>
      <c r="S29" s="1179">
        <v>129049</v>
      </c>
    </row>
    <row r="30" spans="1:19" s="1200" customFormat="1" ht="11.1" customHeight="1">
      <c r="A30" s="1197" t="s">
        <v>749</v>
      </c>
      <c r="B30" s="1178">
        <v>2718112</v>
      </c>
      <c r="C30" s="1178">
        <v>258175</v>
      </c>
      <c r="D30" s="1178">
        <v>373177</v>
      </c>
      <c r="E30" s="1178">
        <v>162403</v>
      </c>
      <c r="F30" s="1178">
        <f t="shared" si="1"/>
        <v>210774</v>
      </c>
      <c r="G30" s="1178">
        <v>56945</v>
      </c>
      <c r="H30" s="1178">
        <v>2095658</v>
      </c>
      <c r="I30" s="1178">
        <v>591180</v>
      </c>
      <c r="J30" s="1178">
        <v>129</v>
      </c>
      <c r="K30" s="1178">
        <v>0</v>
      </c>
      <c r="L30" s="1178">
        <f t="shared" si="2"/>
        <v>2686967</v>
      </c>
      <c r="M30" s="1178">
        <v>9609</v>
      </c>
      <c r="N30" s="1178">
        <v>0</v>
      </c>
      <c r="O30" s="1178">
        <v>0</v>
      </c>
      <c r="P30" s="1178">
        <v>0</v>
      </c>
      <c r="Q30" s="1178">
        <v>0</v>
      </c>
      <c r="R30" s="1178">
        <v>401075</v>
      </c>
      <c r="S30" s="1178">
        <v>146355</v>
      </c>
    </row>
    <row r="31" spans="1:19" s="1200" customFormat="1" ht="11.1" customHeight="1">
      <c r="A31" s="1198" t="s">
        <v>740</v>
      </c>
      <c r="B31" s="1179">
        <v>2860409</v>
      </c>
      <c r="C31" s="1179">
        <v>159226</v>
      </c>
      <c r="D31" s="1179">
        <v>472019</v>
      </c>
      <c r="E31" s="1179">
        <v>149558</v>
      </c>
      <c r="F31" s="1179">
        <f t="shared" si="1"/>
        <v>322461</v>
      </c>
      <c r="G31" s="1179">
        <v>57520</v>
      </c>
      <c r="H31" s="1179">
        <v>2065522</v>
      </c>
      <c r="I31" s="1179">
        <v>763604</v>
      </c>
      <c r="J31" s="1179">
        <v>289</v>
      </c>
      <c r="K31" s="1179">
        <v>0</v>
      </c>
      <c r="L31" s="1179">
        <f t="shared" si="2"/>
        <v>2829415</v>
      </c>
      <c r="M31" s="1179">
        <v>12725</v>
      </c>
      <c r="N31" s="1179">
        <v>0</v>
      </c>
      <c r="O31" s="1179">
        <v>0</v>
      </c>
      <c r="P31" s="1179">
        <v>0</v>
      </c>
      <c r="Q31" s="1179">
        <v>0</v>
      </c>
      <c r="R31" s="1179">
        <v>364936</v>
      </c>
      <c r="S31" s="1179">
        <v>192540</v>
      </c>
    </row>
    <row r="32" spans="1:19" s="1200" customFormat="1" ht="13.5" customHeight="1">
      <c r="A32" s="1446" t="s">
        <v>2138</v>
      </c>
      <c r="B32" s="1178"/>
      <c r="C32" s="1178"/>
      <c r="D32" s="1178"/>
      <c r="E32" s="1178"/>
      <c r="F32" s="1178"/>
      <c r="G32" s="1178"/>
      <c r="H32" s="1178"/>
      <c r="I32" s="1178"/>
      <c r="J32" s="1178"/>
      <c r="K32" s="1178"/>
      <c r="L32" s="1178"/>
      <c r="M32" s="1178"/>
      <c r="N32" s="1178"/>
      <c r="O32" s="1178"/>
      <c r="P32" s="1178"/>
      <c r="Q32" s="1178"/>
      <c r="R32" s="1178"/>
      <c r="S32" s="1178"/>
    </row>
    <row r="33" spans="1:19" s="1200" customFormat="1" ht="11.1" customHeight="1">
      <c r="A33" s="1198" t="s">
        <v>742</v>
      </c>
      <c r="B33" s="1179">
        <v>2972673</v>
      </c>
      <c r="C33" s="1179">
        <v>158946</v>
      </c>
      <c r="D33" s="1179">
        <v>448848</v>
      </c>
      <c r="E33" s="1179">
        <v>159358</v>
      </c>
      <c r="F33" s="1179">
        <f t="shared" si="1"/>
        <v>289490</v>
      </c>
      <c r="G33" s="1179">
        <v>57418</v>
      </c>
      <c r="H33" s="1179">
        <v>2231274</v>
      </c>
      <c r="I33" s="1179">
        <v>672147</v>
      </c>
      <c r="J33" s="1179">
        <v>295</v>
      </c>
      <c r="K33" s="1179">
        <v>0</v>
      </c>
      <c r="L33" s="1179">
        <f t="shared" si="2"/>
        <v>2903716</v>
      </c>
      <c r="M33" s="1179">
        <v>8292</v>
      </c>
      <c r="N33" s="1179">
        <v>0</v>
      </c>
      <c r="O33" s="1179">
        <v>0</v>
      </c>
      <c r="P33" s="1179">
        <v>0</v>
      </c>
      <c r="Q33" s="1179">
        <v>0</v>
      </c>
      <c r="R33" s="1179">
        <v>386729</v>
      </c>
      <c r="S33" s="1179">
        <v>179790</v>
      </c>
    </row>
    <row r="34" spans="1:19" s="1200" customFormat="1" ht="11.1" customHeight="1">
      <c r="A34" s="1197" t="s">
        <v>743</v>
      </c>
      <c r="B34" s="1178">
        <v>3076821</v>
      </c>
      <c r="C34" s="1178">
        <v>112070</v>
      </c>
      <c r="D34" s="1178">
        <v>366644</v>
      </c>
      <c r="E34" s="1178">
        <v>233187</v>
      </c>
      <c r="F34" s="1178">
        <f t="shared" si="1"/>
        <v>133457</v>
      </c>
      <c r="G34" s="1178">
        <v>57540</v>
      </c>
      <c r="H34" s="1178">
        <v>2103185</v>
      </c>
      <c r="I34" s="1178">
        <v>701090</v>
      </c>
      <c r="J34" s="1178">
        <v>526</v>
      </c>
      <c r="K34" s="1178">
        <v>0</v>
      </c>
      <c r="L34" s="1178">
        <f t="shared" si="2"/>
        <v>2804801</v>
      </c>
      <c r="M34" s="1178">
        <v>38951</v>
      </c>
      <c r="N34" s="1178">
        <v>0</v>
      </c>
      <c r="O34" s="1178">
        <v>0</v>
      </c>
      <c r="P34" s="1178">
        <v>0</v>
      </c>
      <c r="Q34" s="1178">
        <v>0</v>
      </c>
      <c r="R34" s="1178">
        <v>400881</v>
      </c>
      <c r="S34" s="1178">
        <v>135255</v>
      </c>
    </row>
    <row r="35" spans="1:19" s="1200" customFormat="1" ht="11.1" customHeight="1">
      <c r="A35" s="1198" t="s">
        <v>737</v>
      </c>
      <c r="B35" s="1179">
        <v>3136155</v>
      </c>
      <c r="C35" s="1179">
        <v>119941</v>
      </c>
      <c r="D35" s="1179">
        <v>340171</v>
      </c>
      <c r="E35" s="1179">
        <v>307696</v>
      </c>
      <c r="F35" s="1179">
        <f t="shared" si="1"/>
        <v>32475</v>
      </c>
      <c r="G35" s="1179">
        <v>57829</v>
      </c>
      <c r="H35" s="1179">
        <v>2040334</v>
      </c>
      <c r="I35" s="1179">
        <v>752393</v>
      </c>
      <c r="J35" s="1179">
        <v>59</v>
      </c>
      <c r="K35" s="1179">
        <v>0</v>
      </c>
      <c r="L35" s="1179">
        <f t="shared" si="2"/>
        <v>2792786</v>
      </c>
      <c r="M35" s="1179">
        <v>14473</v>
      </c>
      <c r="N35" s="1179">
        <v>0</v>
      </c>
      <c r="O35" s="1179">
        <v>0</v>
      </c>
      <c r="P35" s="1179">
        <v>0</v>
      </c>
      <c r="Q35" s="1179">
        <v>0</v>
      </c>
      <c r="R35" s="1179">
        <v>391751</v>
      </c>
      <c r="S35" s="1179">
        <v>147390</v>
      </c>
    </row>
    <row r="36" spans="1:19" s="1200" customFormat="1" ht="11.1" customHeight="1">
      <c r="A36" s="1197" t="s">
        <v>744</v>
      </c>
      <c r="B36" s="1178">
        <v>3223863</v>
      </c>
      <c r="C36" s="1178">
        <v>133990</v>
      </c>
      <c r="D36" s="1178">
        <v>349659</v>
      </c>
      <c r="E36" s="1178">
        <v>323114</v>
      </c>
      <c r="F36" s="1178">
        <f t="shared" si="1"/>
        <v>26545</v>
      </c>
      <c r="G36" s="1178">
        <v>57984</v>
      </c>
      <c r="H36" s="1178">
        <v>2022623</v>
      </c>
      <c r="I36" s="1178">
        <v>853434</v>
      </c>
      <c r="J36" s="1178">
        <v>214</v>
      </c>
      <c r="K36" s="1178">
        <v>0</v>
      </c>
      <c r="L36" s="1178">
        <f t="shared" si="2"/>
        <v>2876271</v>
      </c>
      <c r="M36" s="1178">
        <v>14870</v>
      </c>
      <c r="N36" s="1178">
        <v>0</v>
      </c>
      <c r="O36" s="1178">
        <v>0</v>
      </c>
      <c r="P36" s="1178">
        <v>0</v>
      </c>
      <c r="Q36" s="1178">
        <v>0</v>
      </c>
      <c r="R36" s="1178">
        <v>393713</v>
      </c>
      <c r="S36" s="1178">
        <v>157528</v>
      </c>
    </row>
    <row r="37" spans="1:19" s="1200" customFormat="1" ht="11.1" customHeight="1">
      <c r="A37" s="1198" t="s">
        <v>745</v>
      </c>
      <c r="B37" s="1179">
        <v>3308962</v>
      </c>
      <c r="C37" s="1179">
        <v>156936</v>
      </c>
      <c r="D37" s="1179">
        <v>336558</v>
      </c>
      <c r="E37" s="1179">
        <v>324044</v>
      </c>
      <c r="F37" s="1179">
        <f t="shared" si="1"/>
        <v>12514</v>
      </c>
      <c r="G37" s="1179">
        <v>57886</v>
      </c>
      <c r="H37" s="1179">
        <v>2004635</v>
      </c>
      <c r="I37" s="1179">
        <v>950727</v>
      </c>
      <c r="J37" s="1179">
        <v>149</v>
      </c>
      <c r="K37" s="1179">
        <v>0</v>
      </c>
      <c r="L37" s="1179">
        <f t="shared" si="2"/>
        <v>2955511</v>
      </c>
      <c r="M37" s="1179">
        <v>7697</v>
      </c>
      <c r="N37" s="1179">
        <v>0</v>
      </c>
      <c r="O37" s="1179">
        <v>0</v>
      </c>
      <c r="P37" s="1179">
        <v>0</v>
      </c>
      <c r="Q37" s="1179">
        <v>0</v>
      </c>
      <c r="R37" s="1179">
        <v>401616</v>
      </c>
      <c r="S37" s="1179">
        <v>171474</v>
      </c>
    </row>
    <row r="38" spans="1:19" s="1200" customFormat="1" ht="11.1" customHeight="1">
      <c r="A38" s="1197" t="s">
        <v>738</v>
      </c>
      <c r="B38" s="1178">
        <v>3411807</v>
      </c>
      <c r="C38" s="1178">
        <v>184372</v>
      </c>
      <c r="D38" s="1178">
        <v>316371</v>
      </c>
      <c r="E38" s="1178">
        <v>392847</v>
      </c>
      <c r="F38" s="1178">
        <f t="shared" si="1"/>
        <v>-76476</v>
      </c>
      <c r="G38" s="1178">
        <v>58772</v>
      </c>
      <c r="H38" s="1178">
        <v>2015260</v>
      </c>
      <c r="I38" s="1178">
        <v>1009418</v>
      </c>
      <c r="J38" s="1178">
        <v>424</v>
      </c>
      <c r="K38" s="1178">
        <v>0</v>
      </c>
      <c r="L38" s="1178">
        <f t="shared" si="2"/>
        <v>3025102</v>
      </c>
      <c r="M38" s="1178">
        <v>12390</v>
      </c>
      <c r="N38" s="1178">
        <v>0</v>
      </c>
      <c r="O38" s="1178">
        <v>0</v>
      </c>
      <c r="P38" s="1178">
        <v>0</v>
      </c>
      <c r="Q38" s="1178">
        <v>0</v>
      </c>
      <c r="R38" s="1178">
        <v>415509</v>
      </c>
      <c r="S38" s="1178">
        <v>125474</v>
      </c>
    </row>
    <row r="39" spans="1:19" s="1200" customFormat="1" ht="11.1" customHeight="1">
      <c r="A39" s="1198" t="s">
        <v>746</v>
      </c>
      <c r="B39" s="1179">
        <v>3434775</v>
      </c>
      <c r="C39" s="1179">
        <v>208161</v>
      </c>
      <c r="D39" s="1179">
        <v>369391</v>
      </c>
      <c r="E39" s="1179">
        <v>457631</v>
      </c>
      <c r="F39" s="1179">
        <f t="shared" si="1"/>
        <v>-88240</v>
      </c>
      <c r="G39" s="1179">
        <v>58568</v>
      </c>
      <c r="H39" s="1179">
        <v>2018127</v>
      </c>
      <c r="I39" s="1179">
        <v>978241</v>
      </c>
      <c r="J39" s="1179">
        <v>419</v>
      </c>
      <c r="K39" s="1179">
        <v>0</v>
      </c>
      <c r="L39" s="1179">
        <f t="shared" si="2"/>
        <v>2996787</v>
      </c>
      <c r="M39" s="1179">
        <v>13957</v>
      </c>
      <c r="N39" s="1179">
        <v>0</v>
      </c>
      <c r="O39" s="1179">
        <v>0</v>
      </c>
      <c r="P39" s="1179">
        <v>0</v>
      </c>
      <c r="Q39" s="1179">
        <v>0</v>
      </c>
      <c r="R39" s="1179">
        <v>419679</v>
      </c>
      <c r="S39" s="1179">
        <v>182841</v>
      </c>
    </row>
    <row r="40" spans="1:19" s="1200" customFormat="1" ht="11.1" customHeight="1">
      <c r="A40" s="1197" t="s">
        <v>747</v>
      </c>
      <c r="B40" s="1178">
        <v>3471498</v>
      </c>
      <c r="C40" s="1178">
        <v>215480</v>
      </c>
      <c r="D40" s="1178">
        <v>311755</v>
      </c>
      <c r="E40" s="1178">
        <v>511855</v>
      </c>
      <c r="F40" s="1178">
        <f t="shared" si="1"/>
        <v>-200100</v>
      </c>
      <c r="G40" s="1178">
        <v>58634</v>
      </c>
      <c r="H40" s="1178">
        <v>2018329</v>
      </c>
      <c r="I40" s="1178">
        <v>970645</v>
      </c>
      <c r="J40" s="1178">
        <v>471</v>
      </c>
      <c r="K40" s="1178">
        <v>0</v>
      </c>
      <c r="L40" s="1178">
        <f t="shared" si="2"/>
        <v>2989445</v>
      </c>
      <c r="M40" s="1178">
        <v>10473</v>
      </c>
      <c r="N40" s="1178">
        <v>0</v>
      </c>
      <c r="O40" s="1178">
        <v>0</v>
      </c>
      <c r="P40" s="1178">
        <v>0</v>
      </c>
      <c r="Q40" s="1178">
        <v>0</v>
      </c>
      <c r="R40" s="1178">
        <v>417624</v>
      </c>
      <c r="S40" s="1178">
        <v>127970</v>
      </c>
    </row>
    <row r="41" spans="1:19" s="1200" customFormat="1" ht="11.1" customHeight="1">
      <c r="A41" s="1198" t="s">
        <v>739</v>
      </c>
      <c r="B41" s="1179">
        <v>3468428</v>
      </c>
      <c r="C41" s="1179">
        <v>219457</v>
      </c>
      <c r="D41" s="1179">
        <v>295381</v>
      </c>
      <c r="E41" s="1179">
        <v>482837</v>
      </c>
      <c r="F41" s="1179">
        <f t="shared" si="1"/>
        <v>-187456</v>
      </c>
      <c r="G41" s="1179">
        <v>58675</v>
      </c>
      <c r="H41" s="1179">
        <v>2003242</v>
      </c>
      <c r="I41" s="1179">
        <v>1017166</v>
      </c>
      <c r="J41" s="1179">
        <v>648</v>
      </c>
      <c r="K41" s="1179">
        <v>0</v>
      </c>
      <c r="L41" s="1179">
        <f t="shared" si="2"/>
        <v>3021056</v>
      </c>
      <c r="M41" s="1179">
        <v>14382</v>
      </c>
      <c r="N41" s="1179">
        <v>0</v>
      </c>
      <c r="O41" s="1179">
        <v>0</v>
      </c>
      <c r="P41" s="1179">
        <v>0</v>
      </c>
      <c r="Q41" s="1179">
        <v>0</v>
      </c>
      <c r="R41" s="1179">
        <v>409984</v>
      </c>
      <c r="S41" s="1179">
        <v>113682</v>
      </c>
    </row>
    <row r="42" spans="1:19" s="1200" customFormat="1" ht="11.1" customHeight="1">
      <c r="A42" s="1197" t="s">
        <v>748</v>
      </c>
      <c r="B42" s="1178">
        <v>3525259</v>
      </c>
      <c r="C42" s="1178">
        <v>221744</v>
      </c>
      <c r="D42" s="1178">
        <v>296401</v>
      </c>
      <c r="E42" s="1178">
        <v>409146</v>
      </c>
      <c r="F42" s="1178">
        <v>-112745</v>
      </c>
      <c r="G42" s="1178">
        <v>58799</v>
      </c>
      <c r="H42" s="1178">
        <v>2086326</v>
      </c>
      <c r="I42" s="1178">
        <v>1058407</v>
      </c>
      <c r="J42" s="1178">
        <v>296</v>
      </c>
      <c r="K42" s="1178">
        <v>0</v>
      </c>
      <c r="L42" s="1178">
        <f t="shared" si="2"/>
        <v>3145029</v>
      </c>
      <c r="M42" s="1178">
        <v>14041</v>
      </c>
      <c r="N42" s="1178">
        <v>0</v>
      </c>
      <c r="O42" s="1178">
        <v>0</v>
      </c>
      <c r="P42" s="1178">
        <v>0</v>
      </c>
      <c r="Q42" s="1178">
        <v>0</v>
      </c>
      <c r="R42" s="1178">
        <v>423674</v>
      </c>
      <c r="S42" s="1178">
        <v>110313</v>
      </c>
    </row>
    <row r="43" spans="1:19" s="1200" customFormat="1" ht="11.1" customHeight="1" thickBot="1">
      <c r="A43" s="1571" t="s">
        <v>749</v>
      </c>
      <c r="B43" s="1572">
        <v>3615308</v>
      </c>
      <c r="C43" s="1572">
        <v>229215</v>
      </c>
      <c r="D43" s="1572">
        <v>297079</v>
      </c>
      <c r="E43" s="1572">
        <v>392259</v>
      </c>
      <c r="F43" s="1572">
        <v>-112745</v>
      </c>
      <c r="G43" s="1572">
        <v>58715</v>
      </c>
      <c r="H43" s="1572">
        <v>2192928</v>
      </c>
      <c r="I43" s="1572">
        <v>1069842</v>
      </c>
      <c r="J43" s="1572">
        <v>135</v>
      </c>
      <c r="K43" s="1572">
        <v>0</v>
      </c>
      <c r="L43" s="1572">
        <f t="shared" si="2"/>
        <v>3262905</v>
      </c>
      <c r="M43" s="1572">
        <v>12119</v>
      </c>
      <c r="N43" s="1572">
        <v>0</v>
      </c>
      <c r="O43" s="1572">
        <v>0</v>
      </c>
      <c r="P43" s="1572">
        <v>0</v>
      </c>
      <c r="Q43" s="1572">
        <v>0</v>
      </c>
      <c r="R43" s="1572">
        <v>428971</v>
      </c>
      <c r="S43" s="1572">
        <v>104063</v>
      </c>
    </row>
    <row r="44" spans="1:19" s="1200" customFormat="1" ht="12.95" customHeight="1">
      <c r="A44" s="1198"/>
      <c r="B44" s="1198"/>
      <c r="C44" s="1179"/>
      <c r="D44" s="1179"/>
      <c r="E44" s="1179"/>
      <c r="F44" s="1179"/>
      <c r="G44" s="1179"/>
      <c r="H44" s="1179"/>
      <c r="I44" s="1179"/>
      <c r="J44" s="1179"/>
      <c r="K44" s="1179"/>
      <c r="L44" s="1179"/>
      <c r="M44" s="1179"/>
      <c r="N44" s="1179"/>
      <c r="O44" s="1179"/>
      <c r="P44" s="1179"/>
      <c r="Q44" s="1179"/>
      <c r="R44" s="1179"/>
      <c r="S44" s="1179"/>
    </row>
    <row r="45" spans="1:19">
      <c r="A45" s="937" t="s">
        <v>16</v>
      </c>
      <c r="B45" s="938" t="s">
        <v>1636</v>
      </c>
      <c r="C45" s="938"/>
      <c r="G45" s="943" t="s">
        <v>1753</v>
      </c>
    </row>
    <row r="48" spans="1:19" ht="14.25" customHeight="1"/>
  </sheetData>
  <mergeCells count="15">
    <mergeCell ref="A3:A5"/>
    <mergeCell ref="M3:M4"/>
    <mergeCell ref="N3:N4"/>
    <mergeCell ref="O3:O4"/>
    <mergeCell ref="S3:S4"/>
    <mergeCell ref="R1:S1"/>
    <mergeCell ref="R2:S2"/>
    <mergeCell ref="B3:B4"/>
    <mergeCell ref="C3:C4"/>
    <mergeCell ref="D3:F3"/>
    <mergeCell ref="P3:P4"/>
    <mergeCell ref="Q3:Q4"/>
    <mergeCell ref="R3:R4"/>
    <mergeCell ref="H3:L3"/>
    <mergeCell ref="G3:G4"/>
  </mergeCells>
  <pageMargins left="0.45" right="0.45" top="0.75" bottom="0.75" header="0.3" footer="0.3"/>
  <pageSetup paperSize="448" firstPageNumber="104" orientation="portrait" useFirstPageNumber="1" r:id="rId1"/>
  <headerFooter>
    <oddFooter>&amp;C&amp;"Times New Roman,Regular"&amp;8&amp;P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4:Q55"/>
  <sheetViews>
    <sheetView topLeftCell="A4" zoomScale="160" zoomScaleNormal="160" workbookViewId="0">
      <pane xSplit="1" ySplit="2" topLeftCell="B30" activePane="bottomRight" state="frozen"/>
      <selection activeCell="L47" sqref="L47"/>
      <selection pane="topRight" activeCell="L47" sqref="L47"/>
      <selection pane="bottomLeft" activeCell="L47" sqref="L47"/>
      <selection pane="bottomRight" activeCell="Q58" sqref="Q58"/>
    </sheetView>
  </sheetViews>
  <sheetFormatPr defaultColWidth="8.85546875" defaultRowHeight="15"/>
  <cols>
    <col min="1" max="1" width="8" style="934" customWidth="1"/>
    <col min="2" max="2" width="8.7109375" style="934" customWidth="1"/>
    <col min="3" max="4" width="8.85546875" style="934"/>
    <col min="5" max="5" width="8.28515625" style="934" customWidth="1"/>
    <col min="6" max="6" width="8.85546875" style="934" customWidth="1"/>
    <col min="7" max="7" width="8.42578125" style="934" customWidth="1"/>
    <col min="8" max="8" width="8.28515625" style="934" customWidth="1"/>
    <col min="9" max="9" width="10.28515625" style="934" customWidth="1"/>
    <col min="10" max="16384" width="8.85546875" style="934"/>
  </cols>
  <sheetData>
    <row r="4" spans="1:17" ht="18.75">
      <c r="A4" s="931"/>
      <c r="B4" s="932"/>
      <c r="C4" s="932"/>
      <c r="D4" s="939"/>
      <c r="E4" s="939"/>
      <c r="F4" s="939"/>
      <c r="G4" s="939"/>
      <c r="H4" s="942" t="s">
        <v>1891</v>
      </c>
      <c r="I4" s="933"/>
      <c r="J4" s="956" t="s">
        <v>1892</v>
      </c>
      <c r="K4" s="956"/>
      <c r="L4" s="956"/>
      <c r="M4" s="933"/>
      <c r="N4" s="932"/>
      <c r="O4" s="932"/>
      <c r="P4" s="2270" t="s">
        <v>1863</v>
      </c>
      <c r="Q4" s="2270"/>
    </row>
    <row r="5" spans="1:17">
      <c r="P5" s="2281" t="s">
        <v>2055</v>
      </c>
      <c r="Q5" s="2281"/>
    </row>
    <row r="6" spans="1:17" s="1487" customFormat="1">
      <c r="A6" s="2280" t="s">
        <v>657</v>
      </c>
      <c r="B6" s="2272" t="s">
        <v>664</v>
      </c>
      <c r="C6" s="2282" t="s">
        <v>1864</v>
      </c>
      <c r="D6" s="2282"/>
      <c r="E6" s="2282"/>
      <c r="F6" s="2282" t="s">
        <v>1867</v>
      </c>
      <c r="G6" s="2282"/>
      <c r="H6" s="2282"/>
      <c r="I6" s="2282"/>
      <c r="J6" s="2282"/>
      <c r="K6" s="2272" t="s">
        <v>1898</v>
      </c>
      <c r="L6" s="2276" t="s">
        <v>1899</v>
      </c>
      <c r="M6" s="2276" t="s">
        <v>1858</v>
      </c>
      <c r="N6" s="2275" t="s">
        <v>1859</v>
      </c>
      <c r="O6" s="2276" t="s">
        <v>1881</v>
      </c>
      <c r="P6" s="2276" t="s">
        <v>1861</v>
      </c>
      <c r="Q6" s="2276" t="s">
        <v>1870</v>
      </c>
    </row>
    <row r="7" spans="1:17" s="1487" customFormat="1" ht="72">
      <c r="A7" s="2280"/>
      <c r="B7" s="2273"/>
      <c r="C7" s="1405" t="s">
        <v>1865</v>
      </c>
      <c r="D7" s="1485" t="s">
        <v>1866</v>
      </c>
      <c r="E7" s="1485" t="s">
        <v>1875</v>
      </c>
      <c r="F7" s="1485" t="s">
        <v>1868</v>
      </c>
      <c r="G7" s="1485" t="s">
        <v>1896</v>
      </c>
      <c r="H7" s="1485" t="s">
        <v>1869</v>
      </c>
      <c r="I7" s="1485" t="s">
        <v>1897</v>
      </c>
      <c r="J7" s="1485" t="s">
        <v>1874</v>
      </c>
      <c r="K7" s="2273"/>
      <c r="L7" s="2276"/>
      <c r="M7" s="2276"/>
      <c r="N7" s="2275"/>
      <c r="O7" s="2276"/>
      <c r="P7" s="2276"/>
      <c r="Q7" s="2276"/>
    </row>
    <row r="8" spans="1:17" s="1487" customFormat="1">
      <c r="A8" s="2280"/>
      <c r="B8" s="1488">
        <v>1</v>
      </c>
      <c r="C8" s="940">
        <v>2</v>
      </c>
      <c r="D8" s="940">
        <v>3</v>
      </c>
      <c r="E8" s="940">
        <v>4</v>
      </c>
      <c r="F8" s="940">
        <v>5</v>
      </c>
      <c r="G8" s="940">
        <v>6</v>
      </c>
      <c r="H8" s="940">
        <v>7</v>
      </c>
      <c r="I8" s="940">
        <v>8</v>
      </c>
      <c r="J8" s="940">
        <v>9</v>
      </c>
      <c r="K8" s="940">
        <v>10</v>
      </c>
      <c r="L8" s="940">
        <v>11</v>
      </c>
      <c r="M8" s="940">
        <v>12</v>
      </c>
      <c r="N8" s="940">
        <v>13</v>
      </c>
      <c r="O8" s="940">
        <v>14</v>
      </c>
      <c r="P8" s="940">
        <v>15</v>
      </c>
      <c r="Q8" s="940">
        <v>16</v>
      </c>
    </row>
    <row r="9" spans="1:17" s="943" customFormat="1" ht="10.5" customHeight="1">
      <c r="A9" s="1489" t="s">
        <v>1904</v>
      </c>
      <c r="B9" s="1490">
        <f>B21</f>
        <v>2204910</v>
      </c>
      <c r="C9" s="1490">
        <f t="shared" ref="C9:Q9" si="0">C21</f>
        <v>3865828</v>
      </c>
      <c r="D9" s="1490">
        <f t="shared" si="0"/>
        <v>11531970</v>
      </c>
      <c r="E9" s="1490">
        <f t="shared" si="0"/>
        <v>15397798</v>
      </c>
      <c r="F9" s="1490">
        <f t="shared" si="0"/>
        <v>1527544</v>
      </c>
      <c r="G9" s="1490">
        <f t="shared" si="0"/>
        <v>1182821</v>
      </c>
      <c r="H9" s="1490">
        <f t="shared" si="0"/>
        <v>9884459</v>
      </c>
      <c r="I9" s="1490">
        <f t="shared" si="0"/>
        <v>2750417</v>
      </c>
      <c r="J9" s="1490">
        <f t="shared" si="0"/>
        <v>15345241</v>
      </c>
      <c r="K9" s="1490">
        <f t="shared" si="0"/>
        <v>5593</v>
      </c>
      <c r="L9" s="1490">
        <f t="shared" si="0"/>
        <v>20742</v>
      </c>
      <c r="M9" s="1490">
        <f t="shared" si="0"/>
        <v>2159</v>
      </c>
      <c r="N9" s="1490">
        <f t="shared" si="0"/>
        <v>0</v>
      </c>
      <c r="O9" s="1490">
        <f t="shared" si="0"/>
        <v>0</v>
      </c>
      <c r="P9" s="1490">
        <f t="shared" si="0"/>
        <v>1535595</v>
      </c>
      <c r="Q9" s="1490">
        <f t="shared" si="0"/>
        <v>693378</v>
      </c>
    </row>
    <row r="10" spans="1:17" s="943" customFormat="1" ht="10.5" customHeight="1">
      <c r="A10" s="1491" t="s">
        <v>742</v>
      </c>
      <c r="B10" s="547">
        <v>2183749</v>
      </c>
      <c r="C10" s="547">
        <v>3246226</v>
      </c>
      <c r="D10" s="547">
        <v>10323050</v>
      </c>
      <c r="E10" s="547">
        <f t="shared" ref="E10:E32" si="1">C10+D10</f>
        <v>13569276</v>
      </c>
      <c r="F10" s="547">
        <v>1361691</v>
      </c>
      <c r="G10" s="547">
        <v>1076629</v>
      </c>
      <c r="H10" s="547">
        <v>8997518</v>
      </c>
      <c r="I10" s="547">
        <v>2311773</v>
      </c>
      <c r="J10" s="547">
        <f t="shared" ref="J10:J44" si="2">F10+G10+H10+I10</f>
        <v>13747611</v>
      </c>
      <c r="K10" s="547">
        <v>4933</v>
      </c>
      <c r="L10" s="547">
        <v>16848</v>
      </c>
      <c r="M10" s="547">
        <v>1620</v>
      </c>
      <c r="N10" s="547">
        <v>0</v>
      </c>
      <c r="O10" s="547">
        <v>0</v>
      </c>
      <c r="P10" s="547">
        <v>1522055</v>
      </c>
      <c r="Q10" s="547">
        <v>459958</v>
      </c>
    </row>
    <row r="11" spans="1:17" s="943" customFormat="1" ht="10.5" customHeight="1">
      <c r="A11" s="1492" t="s">
        <v>743</v>
      </c>
      <c r="B11" s="1493">
        <v>2227007</v>
      </c>
      <c r="C11" s="1493">
        <v>3329853</v>
      </c>
      <c r="D11" s="1493">
        <v>10416887</v>
      </c>
      <c r="E11" s="1493">
        <f t="shared" si="1"/>
        <v>13746740</v>
      </c>
      <c r="F11" s="1493">
        <v>1518517</v>
      </c>
      <c r="G11" s="1493">
        <v>1036595</v>
      </c>
      <c r="H11" s="1493">
        <v>9062669</v>
      </c>
      <c r="I11" s="1493">
        <v>2351098</v>
      </c>
      <c r="J11" s="1493">
        <f t="shared" si="2"/>
        <v>13968879</v>
      </c>
      <c r="K11" s="1493">
        <v>5293</v>
      </c>
      <c r="L11" s="1493">
        <v>18017</v>
      </c>
      <c r="M11" s="1493">
        <v>1342</v>
      </c>
      <c r="N11" s="1493">
        <v>0</v>
      </c>
      <c r="O11" s="1493">
        <v>0</v>
      </c>
      <c r="P11" s="1493">
        <v>1549845</v>
      </c>
      <c r="Q11" s="1493">
        <v>430371</v>
      </c>
    </row>
    <row r="12" spans="1:17" s="943" customFormat="1" ht="10.5" customHeight="1">
      <c r="A12" s="1491" t="s">
        <v>737</v>
      </c>
      <c r="B12" s="547">
        <v>2206712</v>
      </c>
      <c r="C12" s="547">
        <v>3314238</v>
      </c>
      <c r="D12" s="547">
        <v>10505532</v>
      </c>
      <c r="E12" s="547">
        <f t="shared" si="1"/>
        <v>13819770</v>
      </c>
      <c r="F12" s="547">
        <v>1394865</v>
      </c>
      <c r="G12" s="547">
        <v>1039992</v>
      </c>
      <c r="H12" s="547">
        <v>9141082</v>
      </c>
      <c r="I12" s="547">
        <v>2393694</v>
      </c>
      <c r="J12" s="547">
        <f t="shared" si="2"/>
        <v>13969633</v>
      </c>
      <c r="K12" s="547">
        <v>7293</v>
      </c>
      <c r="L12" s="547">
        <v>17926</v>
      </c>
      <c r="M12" s="547">
        <v>1420</v>
      </c>
      <c r="N12" s="547">
        <v>0</v>
      </c>
      <c r="O12" s="547">
        <v>0</v>
      </c>
      <c r="P12" s="547">
        <v>1535919</v>
      </c>
      <c r="Q12" s="547">
        <v>494291</v>
      </c>
    </row>
    <row r="13" spans="1:17" s="943" customFormat="1" ht="10.5" customHeight="1">
      <c r="A13" s="1492" t="s">
        <v>744</v>
      </c>
      <c r="B13" s="1493">
        <v>2134210</v>
      </c>
      <c r="C13" s="1493">
        <v>3359739</v>
      </c>
      <c r="D13" s="1493">
        <v>10655080</v>
      </c>
      <c r="E13" s="1493">
        <f t="shared" si="1"/>
        <v>14014819</v>
      </c>
      <c r="F13" s="1493">
        <v>1375482</v>
      </c>
      <c r="G13" s="1493">
        <v>1055825</v>
      </c>
      <c r="H13" s="1493">
        <v>9210843</v>
      </c>
      <c r="I13" s="1493">
        <v>2436837</v>
      </c>
      <c r="J13" s="1493">
        <f t="shared" si="2"/>
        <v>14078987</v>
      </c>
      <c r="K13" s="1493">
        <v>8778</v>
      </c>
      <c r="L13" s="1493">
        <v>17501</v>
      </c>
      <c r="M13" s="1493">
        <v>1434</v>
      </c>
      <c r="N13" s="1493">
        <v>0</v>
      </c>
      <c r="O13" s="1493">
        <v>0</v>
      </c>
      <c r="P13" s="1493">
        <v>1557906</v>
      </c>
      <c r="Q13" s="1493">
        <v>484423</v>
      </c>
    </row>
    <row r="14" spans="1:17" s="943" customFormat="1" ht="10.5" customHeight="1">
      <c r="A14" s="1491" t="s">
        <v>745</v>
      </c>
      <c r="B14" s="547">
        <v>2110407</v>
      </c>
      <c r="C14" s="547">
        <v>3416463</v>
      </c>
      <c r="D14" s="547">
        <v>10775986</v>
      </c>
      <c r="E14" s="547">
        <f t="shared" si="1"/>
        <v>14192449</v>
      </c>
      <c r="F14" s="547">
        <v>1375822</v>
      </c>
      <c r="G14" s="547">
        <v>1052515</v>
      </c>
      <c r="H14" s="547">
        <v>9275843</v>
      </c>
      <c r="I14" s="547">
        <v>2473984</v>
      </c>
      <c r="J14" s="547">
        <f t="shared" si="2"/>
        <v>14178164</v>
      </c>
      <c r="K14" s="547">
        <v>7177</v>
      </c>
      <c r="L14" s="547">
        <v>17894</v>
      </c>
      <c r="M14" s="547">
        <v>1378</v>
      </c>
      <c r="N14" s="547">
        <v>0</v>
      </c>
      <c r="O14" s="547">
        <v>0</v>
      </c>
      <c r="P14" s="547">
        <v>1591493</v>
      </c>
      <c r="Q14" s="547">
        <v>506750</v>
      </c>
    </row>
    <row r="15" spans="1:17" s="943" customFormat="1" ht="10.5" customHeight="1">
      <c r="A15" s="1492" t="s">
        <v>738</v>
      </c>
      <c r="B15" s="1493">
        <v>2179902</v>
      </c>
      <c r="C15" s="1493">
        <v>3457006</v>
      </c>
      <c r="D15" s="1493">
        <v>10959902</v>
      </c>
      <c r="E15" s="1493">
        <f t="shared" si="1"/>
        <v>14416908</v>
      </c>
      <c r="F15" s="1493">
        <v>1431478</v>
      </c>
      <c r="G15" s="1493">
        <v>1110055</v>
      </c>
      <c r="H15" s="1493">
        <v>9407231</v>
      </c>
      <c r="I15" s="1493">
        <v>2507628</v>
      </c>
      <c r="J15" s="1493">
        <f t="shared" si="2"/>
        <v>14456392</v>
      </c>
      <c r="K15" s="1493">
        <v>12230</v>
      </c>
      <c r="L15" s="1493">
        <v>19262</v>
      </c>
      <c r="M15" s="1493">
        <v>1408</v>
      </c>
      <c r="N15" s="1493">
        <v>0</v>
      </c>
      <c r="O15" s="1493">
        <v>0</v>
      </c>
      <c r="P15" s="1493">
        <v>1640728</v>
      </c>
      <c r="Q15" s="1493">
        <v>466790</v>
      </c>
    </row>
    <row r="16" spans="1:17" s="943" customFormat="1" ht="10.5" customHeight="1">
      <c r="A16" s="1491" t="s">
        <v>746</v>
      </c>
      <c r="B16" s="547">
        <v>2089244</v>
      </c>
      <c r="C16" s="547">
        <v>3524537</v>
      </c>
      <c r="D16" s="547">
        <v>11041739</v>
      </c>
      <c r="E16" s="547">
        <f t="shared" si="1"/>
        <v>14566276</v>
      </c>
      <c r="F16" s="547">
        <v>1431482</v>
      </c>
      <c r="G16" s="547">
        <v>1069698</v>
      </c>
      <c r="H16" s="547">
        <v>9443636</v>
      </c>
      <c r="I16" s="547">
        <v>2566565</v>
      </c>
      <c r="J16" s="547">
        <f t="shared" si="2"/>
        <v>14511381</v>
      </c>
      <c r="K16" s="547">
        <v>10656</v>
      </c>
      <c r="L16" s="547">
        <v>19175</v>
      </c>
      <c r="M16" s="547">
        <v>1622</v>
      </c>
      <c r="N16" s="547">
        <v>0</v>
      </c>
      <c r="O16" s="547">
        <v>0</v>
      </c>
      <c r="P16" s="547">
        <v>1452536</v>
      </c>
      <c r="Q16" s="547">
        <v>660150</v>
      </c>
    </row>
    <row r="17" spans="1:17" s="943" customFormat="1" ht="10.5" customHeight="1">
      <c r="A17" s="1492" t="s">
        <v>747</v>
      </c>
      <c r="B17" s="1493">
        <v>2144728</v>
      </c>
      <c r="C17" s="1493">
        <v>3514948</v>
      </c>
      <c r="D17" s="1493">
        <v>11122658</v>
      </c>
      <c r="E17" s="1493">
        <f t="shared" si="1"/>
        <v>14637606</v>
      </c>
      <c r="F17" s="1493">
        <v>1444290</v>
      </c>
      <c r="G17" s="1493">
        <v>1064771</v>
      </c>
      <c r="H17" s="1493">
        <v>9507149</v>
      </c>
      <c r="I17" s="1493">
        <v>2611699</v>
      </c>
      <c r="J17" s="1493">
        <f t="shared" si="2"/>
        <v>14627909</v>
      </c>
      <c r="K17" s="1493">
        <v>10288</v>
      </c>
      <c r="L17" s="1493">
        <v>19162</v>
      </c>
      <c r="M17" s="1493">
        <v>1298</v>
      </c>
      <c r="N17" s="1493">
        <v>0</v>
      </c>
      <c r="O17" s="1493">
        <v>0</v>
      </c>
      <c r="P17" s="1493">
        <v>1476239</v>
      </c>
      <c r="Q17" s="1493">
        <v>647438</v>
      </c>
    </row>
    <row r="18" spans="1:17" s="943" customFormat="1" ht="10.5" customHeight="1">
      <c r="A18" s="1491" t="s">
        <v>739</v>
      </c>
      <c r="B18" s="547">
        <v>2187129</v>
      </c>
      <c r="C18" s="547">
        <v>3552363</v>
      </c>
      <c r="D18" s="547">
        <v>11216529</v>
      </c>
      <c r="E18" s="547">
        <f t="shared" si="1"/>
        <v>14768892</v>
      </c>
      <c r="F18" s="547">
        <v>1431119</v>
      </c>
      <c r="G18" s="547">
        <v>1070671</v>
      </c>
      <c r="H18" s="547">
        <v>9597024</v>
      </c>
      <c r="I18" s="547">
        <v>2651671</v>
      </c>
      <c r="J18" s="547">
        <f t="shared" si="2"/>
        <v>14750485</v>
      </c>
      <c r="K18" s="547">
        <v>10278</v>
      </c>
      <c r="L18" s="547">
        <v>19498</v>
      </c>
      <c r="M18" s="547">
        <v>1269</v>
      </c>
      <c r="N18" s="547">
        <v>0</v>
      </c>
      <c r="O18" s="547">
        <v>0</v>
      </c>
      <c r="P18" s="547">
        <v>1481667</v>
      </c>
      <c r="Q18" s="547">
        <v>692824</v>
      </c>
    </row>
    <row r="19" spans="1:17" s="943" customFormat="1" ht="10.5" customHeight="1">
      <c r="A19" s="1492" t="s">
        <v>748</v>
      </c>
      <c r="B19" s="1493">
        <v>2129324</v>
      </c>
      <c r="C19" s="1493">
        <v>3595375</v>
      </c>
      <c r="D19" s="1493">
        <v>11308943</v>
      </c>
      <c r="E19" s="1493">
        <f t="shared" si="1"/>
        <v>14904318</v>
      </c>
      <c r="F19" s="1493">
        <v>1432259</v>
      </c>
      <c r="G19" s="1493">
        <v>1085797</v>
      </c>
      <c r="H19" s="1493">
        <v>9606751</v>
      </c>
      <c r="I19" s="1493">
        <v>2688045</v>
      </c>
      <c r="J19" s="1493">
        <f t="shared" si="2"/>
        <v>14812852</v>
      </c>
      <c r="K19" s="1493">
        <v>12567</v>
      </c>
      <c r="L19" s="1493">
        <v>19513</v>
      </c>
      <c r="M19" s="1493">
        <v>1251</v>
      </c>
      <c r="N19" s="1493">
        <v>0</v>
      </c>
      <c r="O19" s="1493">
        <v>0</v>
      </c>
      <c r="P19" s="1493">
        <v>1543770</v>
      </c>
      <c r="Q19" s="1493">
        <v>643689</v>
      </c>
    </row>
    <row r="20" spans="1:17" s="943" customFormat="1" ht="10.5" customHeight="1">
      <c r="A20" s="1491" t="s">
        <v>749</v>
      </c>
      <c r="B20" s="547">
        <v>2124180</v>
      </c>
      <c r="C20" s="547">
        <v>3833454</v>
      </c>
      <c r="D20" s="547">
        <v>11473110</v>
      </c>
      <c r="E20" s="547">
        <f t="shared" si="1"/>
        <v>15306564</v>
      </c>
      <c r="F20" s="547">
        <v>1630725</v>
      </c>
      <c r="G20" s="547">
        <v>1085230</v>
      </c>
      <c r="H20" s="547">
        <v>9740214</v>
      </c>
      <c r="I20" s="547">
        <v>2719245</v>
      </c>
      <c r="J20" s="547">
        <f t="shared" si="2"/>
        <v>15175414</v>
      </c>
      <c r="K20" s="547">
        <v>11080</v>
      </c>
      <c r="L20" s="547">
        <v>22002</v>
      </c>
      <c r="M20" s="547">
        <v>1136</v>
      </c>
      <c r="N20" s="547">
        <v>0</v>
      </c>
      <c r="O20" s="547">
        <v>0</v>
      </c>
      <c r="P20" s="547">
        <v>1529704</v>
      </c>
      <c r="Q20" s="547">
        <v>691408</v>
      </c>
    </row>
    <row r="21" spans="1:17" s="943" customFormat="1" ht="10.5" customHeight="1">
      <c r="A21" s="1492" t="s">
        <v>740</v>
      </c>
      <c r="B21" s="1493">
        <v>2204910</v>
      </c>
      <c r="C21" s="1493">
        <v>3865828</v>
      </c>
      <c r="D21" s="1493">
        <v>11531970</v>
      </c>
      <c r="E21" s="1493">
        <f t="shared" si="1"/>
        <v>15397798</v>
      </c>
      <c r="F21" s="1493">
        <v>1527544</v>
      </c>
      <c r="G21" s="1493">
        <v>1182821</v>
      </c>
      <c r="H21" s="1493">
        <v>9884459</v>
      </c>
      <c r="I21" s="1493">
        <v>2750417</v>
      </c>
      <c r="J21" s="1493">
        <f t="shared" si="2"/>
        <v>15345241</v>
      </c>
      <c r="K21" s="1493">
        <v>5593</v>
      </c>
      <c r="L21" s="1493">
        <v>20742</v>
      </c>
      <c r="M21" s="1493">
        <v>2159</v>
      </c>
      <c r="N21" s="1493">
        <v>0</v>
      </c>
      <c r="O21" s="1493">
        <v>0</v>
      </c>
      <c r="P21" s="1493">
        <v>1535595</v>
      </c>
      <c r="Q21" s="1493">
        <v>693378</v>
      </c>
    </row>
    <row r="22" spans="1:17" s="943" customFormat="1" ht="10.5" customHeight="1">
      <c r="A22" s="1494" t="s">
        <v>2017</v>
      </c>
      <c r="B22" s="1495">
        <f>B34</f>
        <v>2502874</v>
      </c>
      <c r="C22" s="1495">
        <f t="shared" ref="C22:Q22" si="3">C34</f>
        <v>4656407</v>
      </c>
      <c r="D22" s="1495">
        <f t="shared" si="3"/>
        <v>12479869</v>
      </c>
      <c r="E22" s="1495">
        <f t="shared" si="3"/>
        <v>17136276</v>
      </c>
      <c r="F22" s="1495">
        <f t="shared" si="3"/>
        <v>1905705</v>
      </c>
      <c r="G22" s="1495">
        <f t="shared" si="3"/>
        <v>1355862</v>
      </c>
      <c r="H22" s="1495">
        <f t="shared" si="3"/>
        <v>10902870</v>
      </c>
      <c r="I22" s="1495">
        <f t="shared" si="3"/>
        <v>2882236</v>
      </c>
      <c r="J22" s="1495">
        <f t="shared" si="3"/>
        <v>17046673</v>
      </c>
      <c r="K22" s="1495">
        <f t="shared" si="3"/>
        <v>14311</v>
      </c>
      <c r="L22" s="1495">
        <f t="shared" si="3"/>
        <v>21310</v>
      </c>
      <c r="M22" s="1495">
        <f t="shared" si="3"/>
        <v>1273</v>
      </c>
      <c r="N22" s="1495">
        <f t="shared" si="3"/>
        <v>0</v>
      </c>
      <c r="O22" s="1495">
        <f t="shared" si="3"/>
        <v>0</v>
      </c>
      <c r="P22" s="1495">
        <f t="shared" si="3"/>
        <v>1626481</v>
      </c>
      <c r="Q22" s="1495">
        <f t="shared" si="3"/>
        <v>929102</v>
      </c>
    </row>
    <row r="23" spans="1:17" s="943" customFormat="1" ht="10.5" customHeight="1">
      <c r="A23" s="1492" t="s">
        <v>742</v>
      </c>
      <c r="B23" s="1493">
        <v>2215871</v>
      </c>
      <c r="C23" s="1493">
        <v>4054241</v>
      </c>
      <c r="D23" s="1493">
        <v>11461585</v>
      </c>
      <c r="E23" s="1493">
        <f t="shared" si="1"/>
        <v>15515826</v>
      </c>
      <c r="F23" s="1493">
        <v>1562933</v>
      </c>
      <c r="G23" s="1493">
        <v>1147602</v>
      </c>
      <c r="H23" s="1493">
        <v>9984723</v>
      </c>
      <c r="I23" s="1493">
        <v>2770900</v>
      </c>
      <c r="J23" s="1493">
        <f t="shared" si="2"/>
        <v>15466158</v>
      </c>
      <c r="K23" s="1493">
        <v>5912</v>
      </c>
      <c r="L23" s="1493">
        <v>20528</v>
      </c>
      <c r="M23" s="1493">
        <v>1149</v>
      </c>
      <c r="N23" s="1493">
        <v>0</v>
      </c>
      <c r="O23" s="1493">
        <v>0</v>
      </c>
      <c r="P23" s="1493">
        <v>1576465</v>
      </c>
      <c r="Q23" s="1493">
        <v>661485</v>
      </c>
    </row>
    <row r="24" spans="1:17" s="943" customFormat="1" ht="10.5" customHeight="1">
      <c r="A24" s="1491" t="s">
        <v>743</v>
      </c>
      <c r="B24" s="547">
        <v>2243823</v>
      </c>
      <c r="C24" s="547">
        <v>4152372</v>
      </c>
      <c r="D24" s="547">
        <v>11505520</v>
      </c>
      <c r="E24" s="547">
        <f t="shared" si="1"/>
        <v>15657892</v>
      </c>
      <c r="F24" s="547">
        <v>1636307</v>
      </c>
      <c r="G24" s="547">
        <v>1106805</v>
      </c>
      <c r="H24" s="547">
        <v>10125983</v>
      </c>
      <c r="I24" s="547">
        <v>2784789</v>
      </c>
      <c r="J24" s="547">
        <f t="shared" si="2"/>
        <v>15653884</v>
      </c>
      <c r="K24" s="547">
        <v>5587</v>
      </c>
      <c r="L24" s="547">
        <v>20409</v>
      </c>
      <c r="M24" s="547">
        <v>929</v>
      </c>
      <c r="N24" s="547">
        <v>0</v>
      </c>
      <c r="O24" s="547">
        <v>0</v>
      </c>
      <c r="P24" s="547">
        <v>1589665</v>
      </c>
      <c r="Q24" s="547">
        <v>631241</v>
      </c>
    </row>
    <row r="25" spans="1:17" s="943" customFormat="1" ht="10.5" customHeight="1">
      <c r="A25" s="1492" t="s">
        <v>737</v>
      </c>
      <c r="B25" s="1493">
        <v>2216436</v>
      </c>
      <c r="C25" s="1493">
        <v>4189359</v>
      </c>
      <c r="D25" s="1493">
        <v>11588843</v>
      </c>
      <c r="E25" s="1493">
        <f t="shared" si="1"/>
        <v>15778202</v>
      </c>
      <c r="F25" s="1493">
        <v>1563662</v>
      </c>
      <c r="G25" s="1493">
        <v>1126914</v>
      </c>
      <c r="H25" s="1493">
        <v>10238149</v>
      </c>
      <c r="I25" s="1493">
        <v>2793305</v>
      </c>
      <c r="J25" s="1493">
        <f t="shared" si="2"/>
        <v>15722030</v>
      </c>
      <c r="K25" s="1493">
        <v>5384</v>
      </c>
      <c r="L25" s="1493">
        <v>20373</v>
      </c>
      <c r="M25" s="1493">
        <v>2307</v>
      </c>
      <c r="N25" s="1493">
        <v>0</v>
      </c>
      <c r="O25" s="1493">
        <v>0</v>
      </c>
      <c r="P25" s="1493">
        <v>1632216</v>
      </c>
      <c r="Q25" s="1493">
        <v>612328</v>
      </c>
    </row>
    <row r="26" spans="1:17" s="943" customFormat="1" ht="10.5" customHeight="1">
      <c r="A26" s="1491" t="s">
        <v>744</v>
      </c>
      <c r="B26" s="547">
        <v>2211691</v>
      </c>
      <c r="C26" s="547">
        <v>4266353</v>
      </c>
      <c r="D26" s="547">
        <v>11679702</v>
      </c>
      <c r="E26" s="547">
        <f t="shared" si="1"/>
        <v>15946055</v>
      </c>
      <c r="F26" s="547">
        <v>1532872</v>
      </c>
      <c r="G26" s="547">
        <v>1135834</v>
      </c>
      <c r="H26" s="547">
        <v>10358501</v>
      </c>
      <c r="I26" s="547">
        <v>2800447</v>
      </c>
      <c r="J26" s="547">
        <f t="shared" si="2"/>
        <v>15827654</v>
      </c>
      <c r="K26" s="547">
        <v>7291</v>
      </c>
      <c r="L26" s="547">
        <v>20071</v>
      </c>
      <c r="M26" s="547">
        <v>1433</v>
      </c>
      <c r="N26" s="547">
        <v>0</v>
      </c>
      <c r="O26" s="547">
        <v>0</v>
      </c>
      <c r="P26" s="547">
        <v>1662610</v>
      </c>
      <c r="Q26" s="547">
        <v>638687</v>
      </c>
    </row>
    <row r="27" spans="1:17" s="943" customFormat="1" ht="10.5" customHeight="1">
      <c r="A27" s="1492" t="s">
        <v>745</v>
      </c>
      <c r="B27" s="1493">
        <v>2220354</v>
      </c>
      <c r="C27" s="1493">
        <v>4341198</v>
      </c>
      <c r="D27" s="1493">
        <v>11787401</v>
      </c>
      <c r="E27" s="1493">
        <f t="shared" si="1"/>
        <v>16128599</v>
      </c>
      <c r="F27" s="1493">
        <v>1537119</v>
      </c>
      <c r="G27" s="1493">
        <v>1143564</v>
      </c>
      <c r="H27" s="1493">
        <v>10495637</v>
      </c>
      <c r="I27" s="1493">
        <v>2802939</v>
      </c>
      <c r="J27" s="1493">
        <f t="shared" si="2"/>
        <v>15979259</v>
      </c>
      <c r="K27" s="1493">
        <v>5714</v>
      </c>
      <c r="L27" s="1493">
        <v>19824</v>
      </c>
      <c r="M27" s="1493">
        <v>1528</v>
      </c>
      <c r="N27" s="1493">
        <v>0</v>
      </c>
      <c r="O27" s="1493">
        <v>0</v>
      </c>
      <c r="P27" s="1493">
        <v>1687057</v>
      </c>
      <c r="Q27" s="1493">
        <v>655571</v>
      </c>
    </row>
    <row r="28" spans="1:17" s="943" customFormat="1" ht="10.5" customHeight="1">
      <c r="A28" s="1491" t="s">
        <v>738</v>
      </c>
      <c r="B28" s="547">
        <v>2258569</v>
      </c>
      <c r="C28" s="547">
        <v>4365679</v>
      </c>
      <c r="D28" s="547">
        <v>12023337</v>
      </c>
      <c r="E28" s="547">
        <f t="shared" si="1"/>
        <v>16389016</v>
      </c>
      <c r="F28" s="547">
        <v>1550424</v>
      </c>
      <c r="G28" s="547">
        <v>1190380</v>
      </c>
      <c r="H28" s="547">
        <v>10640200</v>
      </c>
      <c r="I28" s="547">
        <v>2798201</v>
      </c>
      <c r="J28" s="547">
        <f t="shared" si="2"/>
        <v>16179205</v>
      </c>
      <c r="K28" s="547">
        <v>5479</v>
      </c>
      <c r="L28" s="547">
        <v>20643</v>
      </c>
      <c r="M28" s="547">
        <v>1322</v>
      </c>
      <c r="N28" s="547">
        <v>0</v>
      </c>
      <c r="O28" s="547">
        <v>0</v>
      </c>
      <c r="P28" s="547">
        <v>1780875</v>
      </c>
      <c r="Q28" s="547">
        <v>660061</v>
      </c>
    </row>
    <row r="29" spans="1:17" s="943" customFormat="1" ht="10.5" customHeight="1">
      <c r="A29" s="1492" t="s">
        <v>746</v>
      </c>
      <c r="B29" s="1493">
        <v>2260234</v>
      </c>
      <c r="C29" s="1493">
        <v>4454357</v>
      </c>
      <c r="D29" s="1493">
        <v>11996461</v>
      </c>
      <c r="E29" s="1493">
        <f t="shared" si="1"/>
        <v>16450818</v>
      </c>
      <c r="F29" s="1493">
        <v>1573756</v>
      </c>
      <c r="G29" s="1493">
        <v>1135410</v>
      </c>
      <c r="H29" s="1493">
        <v>10696232</v>
      </c>
      <c r="I29" s="1493">
        <v>2819366</v>
      </c>
      <c r="J29" s="1493">
        <f t="shared" si="2"/>
        <v>16224764</v>
      </c>
      <c r="K29" s="1493">
        <v>7942</v>
      </c>
      <c r="L29" s="1493">
        <v>20487</v>
      </c>
      <c r="M29" s="1493">
        <v>3234</v>
      </c>
      <c r="N29" s="1493">
        <v>0</v>
      </c>
      <c r="O29" s="1493">
        <v>0</v>
      </c>
      <c r="P29" s="1493">
        <v>1575644</v>
      </c>
      <c r="Q29" s="1493">
        <v>878981</v>
      </c>
    </row>
    <row r="30" spans="1:17" s="943" customFormat="1" ht="10.5" customHeight="1">
      <c r="A30" s="1491" t="s">
        <v>747</v>
      </c>
      <c r="B30" s="547">
        <v>2291830</v>
      </c>
      <c r="C30" s="547">
        <v>4467797</v>
      </c>
      <c r="D30" s="547">
        <v>12066013</v>
      </c>
      <c r="E30" s="547">
        <f t="shared" si="1"/>
        <v>16533810</v>
      </c>
      <c r="F30" s="547">
        <v>1602758</v>
      </c>
      <c r="G30" s="547">
        <v>1152703</v>
      </c>
      <c r="H30" s="547">
        <v>10747352</v>
      </c>
      <c r="I30" s="547">
        <v>2836812</v>
      </c>
      <c r="J30" s="547">
        <f t="shared" si="2"/>
        <v>16339625</v>
      </c>
      <c r="K30" s="547">
        <v>7327</v>
      </c>
      <c r="L30" s="547">
        <v>22428</v>
      </c>
      <c r="M30" s="547">
        <v>934</v>
      </c>
      <c r="N30" s="547">
        <v>0</v>
      </c>
      <c r="O30" s="547">
        <v>0</v>
      </c>
      <c r="P30" s="547">
        <v>1605901</v>
      </c>
      <c r="Q30" s="547">
        <v>849425</v>
      </c>
    </row>
    <row r="31" spans="1:17" s="943" customFormat="1" ht="10.5" customHeight="1">
      <c r="A31" s="1492" t="s">
        <v>739</v>
      </c>
      <c r="B31" s="1493">
        <v>2308430</v>
      </c>
      <c r="C31" s="1493">
        <v>4193786</v>
      </c>
      <c r="D31" s="1493">
        <v>12148699</v>
      </c>
      <c r="E31" s="1493">
        <f t="shared" si="1"/>
        <v>16342485</v>
      </c>
      <c r="F31" s="1493">
        <v>1718039</v>
      </c>
      <c r="G31" s="1493">
        <v>1175359</v>
      </c>
      <c r="H31" s="1493">
        <v>10659088</v>
      </c>
      <c r="I31" s="1493">
        <v>2850997</v>
      </c>
      <c r="J31" s="1493">
        <f t="shared" si="2"/>
        <v>16403483</v>
      </c>
      <c r="K31" s="1493">
        <v>7126</v>
      </c>
      <c r="L31" s="1493">
        <v>22594</v>
      </c>
      <c r="M31" s="1493">
        <v>1028</v>
      </c>
      <c r="N31" s="1493">
        <v>0</v>
      </c>
      <c r="O31" s="1493">
        <v>0</v>
      </c>
      <c r="P31" s="1493">
        <v>1605260</v>
      </c>
      <c r="Q31" s="1493">
        <v>611424</v>
      </c>
    </row>
    <row r="32" spans="1:17" s="943" customFormat="1" ht="10.5" customHeight="1">
      <c r="A32" s="1491" t="s">
        <v>748</v>
      </c>
      <c r="B32" s="547">
        <v>2343736</v>
      </c>
      <c r="C32" s="547">
        <v>4528827</v>
      </c>
      <c r="D32" s="547">
        <v>12244780</v>
      </c>
      <c r="E32" s="547">
        <f t="shared" si="1"/>
        <v>16773607</v>
      </c>
      <c r="F32" s="547">
        <v>1760779</v>
      </c>
      <c r="G32" s="547">
        <v>1191413</v>
      </c>
      <c r="H32" s="547">
        <v>10752329</v>
      </c>
      <c r="I32" s="547">
        <v>2844779</v>
      </c>
      <c r="J32" s="547">
        <f t="shared" si="2"/>
        <v>16549300</v>
      </c>
      <c r="K32" s="547">
        <v>9119</v>
      </c>
      <c r="L32" s="547">
        <v>22406</v>
      </c>
      <c r="M32" s="547">
        <v>1009</v>
      </c>
      <c r="N32" s="547">
        <v>0</v>
      </c>
      <c r="O32" s="547">
        <v>0</v>
      </c>
      <c r="P32" s="547">
        <v>1629605</v>
      </c>
      <c r="Q32" s="547">
        <v>905904</v>
      </c>
    </row>
    <row r="33" spans="1:17" s="943" customFormat="1" ht="10.5" customHeight="1">
      <c r="A33" s="1492" t="s">
        <v>749</v>
      </c>
      <c r="B33" s="1493">
        <v>2376176</v>
      </c>
      <c r="C33" s="1493">
        <v>4449630</v>
      </c>
      <c r="D33" s="1493">
        <v>12410554</v>
      </c>
      <c r="E33" s="1493">
        <f>C33+D33</f>
        <v>16860184</v>
      </c>
      <c r="F33" s="1493">
        <v>1922067</v>
      </c>
      <c r="G33" s="1493">
        <v>1227309</v>
      </c>
      <c r="H33" s="1493">
        <v>10809782</v>
      </c>
      <c r="I33" s="1493">
        <v>2848805</v>
      </c>
      <c r="J33" s="1493">
        <f t="shared" si="2"/>
        <v>16807963</v>
      </c>
      <c r="K33" s="1493">
        <v>11348</v>
      </c>
      <c r="L33" s="1493">
        <v>21493</v>
      </c>
      <c r="M33" s="1493">
        <v>831</v>
      </c>
      <c r="N33" s="1493">
        <v>0</v>
      </c>
      <c r="O33" s="1493">
        <v>0</v>
      </c>
      <c r="P33" s="1493">
        <v>1633906</v>
      </c>
      <c r="Q33" s="1493">
        <v>760819</v>
      </c>
    </row>
    <row r="34" spans="1:17" s="943" customFormat="1" ht="10.5" customHeight="1">
      <c r="A34" s="1491" t="s">
        <v>740</v>
      </c>
      <c r="B34" s="547">
        <v>2502874</v>
      </c>
      <c r="C34" s="547">
        <v>4656407</v>
      </c>
      <c r="D34" s="547">
        <v>12479869</v>
      </c>
      <c r="E34" s="547">
        <f>C34+D34</f>
        <v>17136276</v>
      </c>
      <c r="F34" s="547">
        <v>1905705</v>
      </c>
      <c r="G34" s="547">
        <v>1355862</v>
      </c>
      <c r="H34" s="547">
        <v>10902870</v>
      </c>
      <c r="I34" s="547">
        <v>2882236</v>
      </c>
      <c r="J34" s="547">
        <f t="shared" si="2"/>
        <v>17046673</v>
      </c>
      <c r="K34" s="547">
        <v>14311</v>
      </c>
      <c r="L34" s="547">
        <v>21310</v>
      </c>
      <c r="M34" s="547">
        <v>1273</v>
      </c>
      <c r="N34" s="547">
        <v>0</v>
      </c>
      <c r="O34" s="547">
        <v>0</v>
      </c>
      <c r="P34" s="547">
        <v>1626481</v>
      </c>
      <c r="Q34" s="547">
        <v>929102</v>
      </c>
    </row>
    <row r="35" spans="1:17" s="943" customFormat="1" ht="10.5" customHeight="1">
      <c r="A35" s="1496" t="s">
        <v>2613</v>
      </c>
      <c r="B35" s="1493"/>
      <c r="C35" s="1493"/>
      <c r="D35" s="1493"/>
      <c r="E35" s="1493"/>
      <c r="F35" s="1493"/>
      <c r="G35" s="1493"/>
      <c r="H35" s="1493"/>
      <c r="I35" s="1493"/>
      <c r="J35" s="1493"/>
      <c r="K35" s="1493"/>
      <c r="L35" s="1493"/>
      <c r="M35" s="1493"/>
      <c r="N35" s="1493"/>
      <c r="O35" s="1493"/>
      <c r="P35" s="1493"/>
      <c r="Q35" s="1493"/>
    </row>
    <row r="36" spans="1:17" s="943" customFormat="1" ht="10.5" customHeight="1">
      <c r="A36" s="1491" t="s">
        <v>742</v>
      </c>
      <c r="B36" s="547">
        <v>2639078</v>
      </c>
      <c r="C36" s="547">
        <v>4846048</v>
      </c>
      <c r="D36" s="547">
        <v>12454705</v>
      </c>
      <c r="E36" s="547">
        <f t="shared" ref="E36:E43" si="4">C36+D36</f>
        <v>17300753</v>
      </c>
      <c r="F36" s="547">
        <v>2094396</v>
      </c>
      <c r="G36" s="547">
        <v>1279232</v>
      </c>
      <c r="H36" s="547">
        <v>11097417</v>
      </c>
      <c r="I36" s="547">
        <v>2917735</v>
      </c>
      <c r="J36" s="547">
        <f t="shared" si="2"/>
        <v>17388780</v>
      </c>
      <c r="K36" s="547">
        <v>9875</v>
      </c>
      <c r="L36" s="547">
        <v>21401</v>
      </c>
      <c r="M36" s="547">
        <v>1335</v>
      </c>
      <c r="N36" s="547">
        <v>0</v>
      </c>
      <c r="O36" s="547">
        <v>0</v>
      </c>
      <c r="P36" s="547">
        <v>1650097</v>
      </c>
      <c r="Q36" s="547">
        <v>868343</v>
      </c>
    </row>
    <row r="37" spans="1:17" s="943" customFormat="1" ht="10.5" customHeight="1">
      <c r="A37" s="1492" t="s">
        <v>743</v>
      </c>
      <c r="B37" s="1493">
        <v>2777343</v>
      </c>
      <c r="C37" s="1493">
        <v>4877653</v>
      </c>
      <c r="D37" s="1493">
        <v>12502154</v>
      </c>
      <c r="E37" s="1493">
        <f t="shared" si="4"/>
        <v>17379807</v>
      </c>
      <c r="F37" s="1493">
        <v>1924428</v>
      </c>
      <c r="G37" s="1493">
        <v>1335726</v>
      </c>
      <c r="H37" s="1493">
        <v>11302409</v>
      </c>
      <c r="I37" s="1493">
        <v>2953818</v>
      </c>
      <c r="J37" s="1493">
        <f t="shared" si="2"/>
        <v>17516381</v>
      </c>
      <c r="K37" s="1493">
        <v>41649</v>
      </c>
      <c r="L37" s="1493">
        <v>21704</v>
      </c>
      <c r="M37" s="1493">
        <v>1853</v>
      </c>
      <c r="N37" s="1493">
        <v>0</v>
      </c>
      <c r="O37" s="1493">
        <v>0</v>
      </c>
      <c r="P37" s="1493">
        <v>1714107</v>
      </c>
      <c r="Q37" s="1493">
        <v>861456</v>
      </c>
    </row>
    <row r="38" spans="1:17" s="943" customFormat="1" ht="10.5" customHeight="1">
      <c r="A38" s="1497" t="s">
        <v>737</v>
      </c>
      <c r="B38" s="547">
        <v>2867450</v>
      </c>
      <c r="C38" s="547">
        <v>4873507</v>
      </c>
      <c r="D38" s="547">
        <v>12619159</v>
      </c>
      <c r="E38" s="547">
        <f t="shared" si="4"/>
        <v>17492666</v>
      </c>
      <c r="F38" s="547">
        <v>1876500</v>
      </c>
      <c r="G38" s="547">
        <v>1355784</v>
      </c>
      <c r="H38" s="547">
        <v>11444331</v>
      </c>
      <c r="I38" s="547">
        <v>2994455</v>
      </c>
      <c r="J38" s="547">
        <f t="shared" si="2"/>
        <v>17671070</v>
      </c>
      <c r="K38" s="547">
        <v>16904</v>
      </c>
      <c r="L38" s="547">
        <v>22661</v>
      </c>
      <c r="M38" s="547">
        <v>1425</v>
      </c>
      <c r="N38" s="547">
        <v>0</v>
      </c>
      <c r="O38" s="547">
        <v>0</v>
      </c>
      <c r="P38" s="547">
        <v>1736264</v>
      </c>
      <c r="Q38" s="547">
        <v>911792</v>
      </c>
    </row>
    <row r="39" spans="1:17" s="943" customFormat="1" ht="10.5" customHeight="1">
      <c r="A39" s="1498" t="s">
        <v>744</v>
      </c>
      <c r="B39" s="1493">
        <v>2930568</v>
      </c>
      <c r="C39" s="1493">
        <v>4929057</v>
      </c>
      <c r="D39" s="1493">
        <v>12653245</v>
      </c>
      <c r="E39" s="1493">
        <f t="shared" si="4"/>
        <v>17582302</v>
      </c>
      <c r="F39" s="1493">
        <v>1865062</v>
      </c>
      <c r="G39" s="1493">
        <v>1343745</v>
      </c>
      <c r="H39" s="1493">
        <v>11602521</v>
      </c>
      <c r="I39" s="1493">
        <v>3033524</v>
      </c>
      <c r="J39" s="1493">
        <f t="shared" si="2"/>
        <v>17844852</v>
      </c>
      <c r="K39" s="1493">
        <v>17241</v>
      </c>
      <c r="L39" s="1493">
        <v>22974</v>
      </c>
      <c r="M39" s="1493">
        <v>684</v>
      </c>
      <c r="N39" s="1493">
        <v>0</v>
      </c>
      <c r="O39" s="1493">
        <v>0</v>
      </c>
      <c r="P39" s="1493">
        <v>1809872</v>
      </c>
      <c r="Q39" s="1493">
        <v>817247</v>
      </c>
    </row>
    <row r="40" spans="1:17" s="943" customFormat="1" ht="10.5" customHeight="1">
      <c r="A40" s="1497" t="s">
        <v>745</v>
      </c>
      <c r="B40" s="547">
        <v>3024774</v>
      </c>
      <c r="C40" s="547">
        <v>4978950</v>
      </c>
      <c r="D40" s="547">
        <v>12719885</v>
      </c>
      <c r="E40" s="547">
        <f t="shared" si="4"/>
        <v>17698835</v>
      </c>
      <c r="F40" s="547">
        <v>1838876</v>
      </c>
      <c r="G40" s="547">
        <v>1403337</v>
      </c>
      <c r="H40" s="547">
        <v>11705872</v>
      </c>
      <c r="I40" s="547">
        <v>3065890</v>
      </c>
      <c r="J40" s="547">
        <f t="shared" si="2"/>
        <v>18013975</v>
      </c>
      <c r="K40" s="547">
        <v>10615</v>
      </c>
      <c r="L40" s="547">
        <v>22920</v>
      </c>
      <c r="M40" s="547">
        <v>704</v>
      </c>
      <c r="N40" s="547">
        <v>0</v>
      </c>
      <c r="O40" s="547">
        <v>0</v>
      </c>
      <c r="P40" s="547">
        <v>1824471</v>
      </c>
      <c r="Q40" s="547">
        <v>850924</v>
      </c>
    </row>
    <row r="41" spans="1:17" s="943" customFormat="1" ht="10.5" customHeight="1">
      <c r="A41" s="1498" t="s">
        <v>738</v>
      </c>
      <c r="B41" s="1493">
        <v>3137221</v>
      </c>
      <c r="C41" s="1493">
        <v>4971459</v>
      </c>
      <c r="D41" s="1493">
        <v>12947764</v>
      </c>
      <c r="E41" s="1493">
        <f t="shared" si="4"/>
        <v>17919223</v>
      </c>
      <c r="F41" s="1493">
        <v>1859165</v>
      </c>
      <c r="G41" s="1493">
        <v>1484524</v>
      </c>
      <c r="H41" s="1493">
        <v>11874981</v>
      </c>
      <c r="I41" s="1493">
        <v>3079492</v>
      </c>
      <c r="J41" s="1493">
        <f t="shared" si="2"/>
        <v>18298162</v>
      </c>
      <c r="K41" s="1493">
        <v>15042</v>
      </c>
      <c r="L41" s="1493">
        <v>27124</v>
      </c>
      <c r="M41" s="1493">
        <v>822</v>
      </c>
      <c r="N41" s="1493">
        <v>0</v>
      </c>
      <c r="O41" s="1493">
        <v>0</v>
      </c>
      <c r="P41" s="1493">
        <v>1841662</v>
      </c>
      <c r="Q41" s="1493">
        <v>873632</v>
      </c>
    </row>
    <row r="42" spans="1:17" s="943" customFormat="1" ht="10.5" customHeight="1">
      <c r="A42" s="1497" t="s">
        <v>746</v>
      </c>
      <c r="B42" s="547">
        <v>3153713</v>
      </c>
      <c r="C42" s="547">
        <v>5025359</v>
      </c>
      <c r="D42" s="547">
        <v>12930287</v>
      </c>
      <c r="E42" s="547">
        <f t="shared" si="4"/>
        <v>17955646</v>
      </c>
      <c r="F42" s="547">
        <v>1841897</v>
      </c>
      <c r="G42" s="547">
        <v>1422495</v>
      </c>
      <c r="H42" s="547">
        <v>11883049</v>
      </c>
      <c r="I42" s="547">
        <v>3130768</v>
      </c>
      <c r="J42" s="547">
        <f t="shared" si="2"/>
        <v>18278209</v>
      </c>
      <c r="K42" s="547">
        <v>16930</v>
      </c>
      <c r="L42" s="547">
        <v>27428</v>
      </c>
      <c r="M42" s="547">
        <v>815</v>
      </c>
      <c r="N42" s="547">
        <v>0</v>
      </c>
      <c r="O42" s="547">
        <v>0</v>
      </c>
      <c r="P42" s="547">
        <v>1727146</v>
      </c>
      <c r="Q42" s="547">
        <v>1058831</v>
      </c>
    </row>
    <row r="43" spans="1:17" s="943" customFormat="1" ht="10.5" customHeight="1">
      <c r="A43" s="1498" t="s">
        <v>747</v>
      </c>
      <c r="B43" s="1493">
        <v>3172900</v>
      </c>
      <c r="C43" s="1493">
        <v>4943980</v>
      </c>
      <c r="D43" s="1493">
        <v>13079057</v>
      </c>
      <c r="E43" s="1493">
        <f t="shared" si="4"/>
        <v>18023037</v>
      </c>
      <c r="F43" s="1493">
        <v>1837778</v>
      </c>
      <c r="G43" s="1493">
        <v>1451249</v>
      </c>
      <c r="H43" s="1493">
        <v>11943323</v>
      </c>
      <c r="I43" s="1493">
        <v>3166167</v>
      </c>
      <c r="J43" s="1493">
        <f t="shared" si="2"/>
        <v>18398517</v>
      </c>
      <c r="K43" s="1493">
        <v>13267</v>
      </c>
      <c r="L43" s="1493">
        <v>28244</v>
      </c>
      <c r="M43" s="1493">
        <v>801</v>
      </c>
      <c r="N43" s="1493">
        <v>0</v>
      </c>
      <c r="O43" s="1493">
        <v>0</v>
      </c>
      <c r="P43" s="1493">
        <v>1706937</v>
      </c>
      <c r="Q43" s="1493">
        <v>1048171</v>
      </c>
    </row>
    <row r="44" spans="1:17" s="943" customFormat="1" ht="10.5" customHeight="1">
      <c r="A44" s="1497" t="s">
        <v>739</v>
      </c>
      <c r="B44" s="547">
        <v>3179662</v>
      </c>
      <c r="C44" s="547">
        <v>4972899</v>
      </c>
      <c r="D44" s="547">
        <v>13166174</v>
      </c>
      <c r="E44" s="547">
        <v>18139073</v>
      </c>
      <c r="F44" s="547">
        <v>1826549</v>
      </c>
      <c r="G44" s="547">
        <v>1452480</v>
      </c>
      <c r="H44" s="547">
        <v>11982713</v>
      </c>
      <c r="I44" s="547">
        <v>3204684</v>
      </c>
      <c r="J44" s="547">
        <f t="shared" si="2"/>
        <v>18466426</v>
      </c>
      <c r="K44" s="547">
        <v>17683</v>
      </c>
      <c r="L44" s="547">
        <v>28163</v>
      </c>
      <c r="M44" s="547">
        <v>776</v>
      </c>
      <c r="N44" s="547">
        <v>0</v>
      </c>
      <c r="O44" s="547">
        <v>0</v>
      </c>
      <c r="P44" s="547">
        <v>1774852</v>
      </c>
      <c r="Q44" s="547">
        <v>1030835</v>
      </c>
    </row>
    <row r="45" spans="1:17" s="943" customFormat="1" ht="10.5" customHeight="1">
      <c r="A45" s="1498" t="s">
        <v>748</v>
      </c>
      <c r="B45" s="1493">
        <v>3242379</v>
      </c>
      <c r="C45" s="1493">
        <v>5067089</v>
      </c>
      <c r="D45" s="1493">
        <v>13217923</v>
      </c>
      <c r="E45" s="1493">
        <v>18285012</v>
      </c>
      <c r="F45" s="1493">
        <v>1908491</v>
      </c>
      <c r="G45" s="1493">
        <v>1470474</v>
      </c>
      <c r="H45" s="1493">
        <v>12032040</v>
      </c>
      <c r="I45" s="1493">
        <v>3219919</v>
      </c>
      <c r="J45" s="1493">
        <v>18630924</v>
      </c>
      <c r="K45" s="1493">
        <v>17447</v>
      </c>
      <c r="L45" s="1493">
        <v>27996</v>
      </c>
      <c r="M45" s="1493">
        <v>771</v>
      </c>
      <c r="N45" s="1493">
        <v>0</v>
      </c>
      <c r="O45" s="1493">
        <v>0</v>
      </c>
      <c r="P45" s="1493">
        <v>1805517</v>
      </c>
      <c r="Q45" s="1493">
        <v>1044736</v>
      </c>
    </row>
    <row r="46" spans="1:17" s="943" customFormat="1" ht="10.5" customHeight="1" thickBot="1">
      <c r="A46" s="1573" t="s">
        <v>749</v>
      </c>
      <c r="B46" s="1574">
        <v>3312217</v>
      </c>
      <c r="C46" s="1574">
        <v>5199541</v>
      </c>
      <c r="D46" s="1574">
        <v>13316003</v>
      </c>
      <c r="E46" s="1574">
        <v>18515544</v>
      </c>
      <c r="F46" s="1574">
        <v>1996396</v>
      </c>
      <c r="G46" s="1574">
        <v>1514885</v>
      </c>
      <c r="H46" s="1574">
        <v>12160026</v>
      </c>
      <c r="I46" s="1574">
        <v>3246331</v>
      </c>
      <c r="J46" s="1574">
        <v>18917638</v>
      </c>
      <c r="K46" s="1574">
        <v>15148</v>
      </c>
      <c r="L46" s="1574">
        <v>28351</v>
      </c>
      <c r="M46" s="1574">
        <v>927</v>
      </c>
      <c r="N46" s="1574">
        <v>0</v>
      </c>
      <c r="O46" s="1574">
        <v>0</v>
      </c>
      <c r="P46" s="1574">
        <v>1823831</v>
      </c>
      <c r="Q46" s="1574">
        <v>1041866</v>
      </c>
    </row>
    <row r="47" spans="1:17" ht="12.75" customHeight="1">
      <c r="A47" s="936"/>
      <c r="B47" s="948"/>
      <c r="C47" s="948"/>
      <c r="D47" s="948"/>
      <c r="E47" s="948"/>
      <c r="F47" s="948"/>
      <c r="G47" s="948"/>
      <c r="H47" s="948"/>
      <c r="I47" s="948"/>
      <c r="J47" s="948"/>
      <c r="K47" s="948"/>
      <c r="L47" s="948"/>
      <c r="M47" s="948"/>
      <c r="N47" s="948"/>
      <c r="O47" s="948"/>
      <c r="P47" s="948"/>
      <c r="Q47" s="948"/>
    </row>
    <row r="48" spans="1:17" ht="12" customHeight="1">
      <c r="A48" s="937" t="s">
        <v>1796</v>
      </c>
      <c r="B48" s="938" t="s">
        <v>1636</v>
      </c>
      <c r="G48" s="943" t="s">
        <v>1753</v>
      </c>
    </row>
    <row r="49" spans="5:10">
      <c r="E49" s="943"/>
      <c r="G49" s="944"/>
      <c r="H49" s="944"/>
      <c r="I49" s="944"/>
      <c r="J49" s="944"/>
    </row>
    <row r="50" spans="5:10">
      <c r="E50" s="943"/>
      <c r="J50" s="944"/>
    </row>
    <row r="51" spans="5:10">
      <c r="E51" s="943"/>
      <c r="J51" s="944"/>
    </row>
    <row r="52" spans="5:10">
      <c r="E52" s="943"/>
      <c r="J52" s="944"/>
    </row>
    <row r="53" spans="5:10">
      <c r="E53" s="943"/>
      <c r="J53" s="944"/>
    </row>
    <row r="54" spans="5:10">
      <c r="E54" s="943"/>
      <c r="J54" s="944"/>
    </row>
    <row r="55" spans="5:10">
      <c r="E55" s="943"/>
      <c r="J55" s="944"/>
    </row>
  </sheetData>
  <mergeCells count="13">
    <mergeCell ref="P4:Q4"/>
    <mergeCell ref="P5:Q5"/>
    <mergeCell ref="A6:A8"/>
    <mergeCell ref="B6:B7"/>
    <mergeCell ref="C6:E6"/>
    <mergeCell ref="F6:J6"/>
    <mergeCell ref="K6:K7"/>
    <mergeCell ref="L6:L7"/>
    <mergeCell ref="M6:M7"/>
    <mergeCell ref="N6:N7"/>
    <mergeCell ref="O6:O7"/>
    <mergeCell ref="P6:P7"/>
    <mergeCell ref="Q6:Q7"/>
  </mergeCells>
  <pageMargins left="0.75" right="0.45" top="0.75" bottom="0.75" header="0.3" footer="0.3"/>
  <pageSetup paperSize="448" firstPageNumber="106" orientation="portrait" useFirstPageNumber="1" r:id="rId1"/>
  <headerFooter>
    <oddFooter>&amp;C&amp;"Times New Roman,Regular"&amp;8&amp;P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U37"/>
  <sheetViews>
    <sheetView topLeftCell="A25" zoomScale="140" zoomScaleNormal="140" workbookViewId="0">
      <selection activeCell="M20" sqref="M20"/>
    </sheetView>
  </sheetViews>
  <sheetFormatPr defaultColWidth="9.140625" defaultRowHeight="12.75"/>
  <cols>
    <col min="1" max="1" width="5.140625" style="1023" customWidth="1"/>
    <col min="2" max="2" width="7.7109375" style="1023" customWidth="1"/>
    <col min="3" max="3" width="8.7109375" style="1091" customWidth="1"/>
    <col min="4" max="4" width="9.7109375" style="1091" customWidth="1"/>
    <col min="5" max="5" width="9.140625" style="1091" customWidth="1"/>
    <col min="6" max="6" width="8.42578125" style="1091" customWidth="1"/>
    <col min="7" max="7" width="10.140625" style="1091" customWidth="1"/>
    <col min="8" max="8" width="9.140625" style="1023"/>
    <col min="9" max="9" width="11.7109375" style="1023" bestFit="1" customWidth="1"/>
    <col min="10" max="16384" width="9.140625" style="1023"/>
  </cols>
  <sheetData>
    <row r="1" spans="1:21">
      <c r="A1" s="2285" t="s">
        <v>2053</v>
      </c>
      <c r="B1" s="2285"/>
      <c r="C1" s="2285"/>
      <c r="D1" s="2285"/>
      <c r="E1" s="2285"/>
      <c r="F1" s="2285"/>
      <c r="G1" s="2285"/>
      <c r="H1" s="2285"/>
      <c r="I1" s="1090" t="s">
        <v>2054</v>
      </c>
    </row>
    <row r="2" spans="1:21">
      <c r="A2" s="8"/>
      <c r="B2" s="8"/>
      <c r="C2" s="34"/>
      <c r="D2" s="34"/>
      <c r="E2" s="34"/>
      <c r="F2" s="34"/>
      <c r="H2" s="34" t="s">
        <v>834</v>
      </c>
      <c r="I2" s="1" t="s">
        <v>2076</v>
      </c>
      <c r="J2" s="4"/>
    </row>
    <row r="3" spans="1:21" ht="33.75" customHeight="1">
      <c r="A3" s="2290" t="s">
        <v>22</v>
      </c>
      <c r="B3" s="2291"/>
      <c r="C3" s="1128" t="s">
        <v>2037</v>
      </c>
      <c r="D3" s="1092" t="s">
        <v>1908</v>
      </c>
      <c r="E3" s="1093" t="s">
        <v>1909</v>
      </c>
      <c r="F3" s="1093" t="s">
        <v>1910</v>
      </c>
      <c r="G3" s="1093" t="s">
        <v>1923</v>
      </c>
      <c r="H3" s="1093" t="s">
        <v>2019</v>
      </c>
      <c r="I3" s="1093" t="s">
        <v>1924</v>
      </c>
    </row>
    <row r="4" spans="1:21" ht="12.75" customHeight="1">
      <c r="A4" s="2286" t="s">
        <v>1903</v>
      </c>
      <c r="B4" s="2286"/>
      <c r="C4" s="1094">
        <f>SUM(C5:C32)</f>
        <v>118090.17477968999</v>
      </c>
      <c r="D4" s="1094">
        <f t="shared" ref="D4:H4" si="0">SUM(D5:D32)</f>
        <v>777119.23927000002</v>
      </c>
      <c r="E4" s="1094">
        <f t="shared" si="0"/>
        <v>45752.610000000008</v>
      </c>
      <c r="F4" s="1095">
        <f t="shared" si="0"/>
        <v>73005.550000000032</v>
      </c>
      <c r="G4" s="1094">
        <f t="shared" si="0"/>
        <v>2667.5</v>
      </c>
      <c r="H4" s="1094">
        <f t="shared" si="0"/>
        <v>18729.830788120002</v>
      </c>
      <c r="I4" s="1172" t="s">
        <v>2085</v>
      </c>
      <c r="O4" s="1096"/>
      <c r="P4" s="1096"/>
      <c r="Q4" s="1096"/>
      <c r="R4" s="1096"/>
      <c r="S4" s="1096"/>
    </row>
    <row r="5" spans="1:21" ht="12.75" customHeight="1">
      <c r="A5" s="2287" t="s">
        <v>1576</v>
      </c>
      <c r="B5" s="1097" t="s">
        <v>1911</v>
      </c>
      <c r="C5" s="1098">
        <v>129.66929024147998</v>
      </c>
      <c r="D5" s="1098">
        <v>83.796869999999998</v>
      </c>
      <c r="E5" s="1098">
        <v>13.58</v>
      </c>
      <c r="F5" s="1099">
        <v>9.08</v>
      </c>
      <c r="G5" s="1100">
        <v>10</v>
      </c>
      <c r="H5" s="146">
        <v>0</v>
      </c>
      <c r="I5" s="146">
        <v>0</v>
      </c>
      <c r="O5" s="1096"/>
      <c r="P5" s="1096"/>
      <c r="Q5" s="1096"/>
      <c r="R5" s="1096"/>
      <c r="S5" s="1096"/>
      <c r="T5" s="1096"/>
      <c r="U5" s="1096"/>
    </row>
    <row r="6" spans="1:21" ht="12.75" customHeight="1">
      <c r="A6" s="2288"/>
      <c r="B6" s="1101" t="s">
        <v>1912</v>
      </c>
      <c r="C6" s="1102">
        <v>193.62399634407998</v>
      </c>
      <c r="D6" s="1102">
        <v>1108.8546899999999</v>
      </c>
      <c r="E6" s="1102">
        <v>15.79</v>
      </c>
      <c r="F6" s="1103">
        <v>409.92</v>
      </c>
      <c r="G6" s="1104">
        <v>0.8</v>
      </c>
      <c r="H6" s="975">
        <v>0</v>
      </c>
      <c r="I6" s="975">
        <v>0</v>
      </c>
      <c r="O6" s="1096"/>
      <c r="P6" s="1096"/>
      <c r="Q6" s="1096"/>
      <c r="R6" s="1096"/>
      <c r="S6" s="1096"/>
    </row>
    <row r="7" spans="1:21" ht="12.75" customHeight="1">
      <c r="A7" s="2288"/>
      <c r="B7" s="1105" t="s">
        <v>1913</v>
      </c>
      <c r="C7" s="1106">
        <v>31399.231979070595</v>
      </c>
      <c r="D7" s="1106">
        <v>167897.44834</v>
      </c>
      <c r="E7" s="1106">
        <v>8289.41</v>
      </c>
      <c r="F7" s="1106">
        <v>14450.02</v>
      </c>
      <c r="G7" s="1099">
        <v>100.5</v>
      </c>
      <c r="H7" s="1035">
        <v>4095.3309899999999</v>
      </c>
      <c r="I7" s="989">
        <v>0</v>
      </c>
      <c r="O7" s="1096"/>
      <c r="P7" s="1096"/>
      <c r="Q7" s="1096"/>
      <c r="R7" s="1096"/>
      <c r="S7" s="1096"/>
    </row>
    <row r="8" spans="1:21" ht="12.75" customHeight="1">
      <c r="A8" s="2288"/>
      <c r="B8" s="1101" t="s">
        <v>1914</v>
      </c>
      <c r="C8" s="1102">
        <v>169.86372667717998</v>
      </c>
      <c r="D8" s="1102">
        <v>1555.11195</v>
      </c>
      <c r="E8" s="1102">
        <v>43.31</v>
      </c>
      <c r="F8" s="1102">
        <v>97.5</v>
      </c>
      <c r="G8" s="1103">
        <v>347.6</v>
      </c>
      <c r="H8" s="991">
        <v>-8.3749099999999999</v>
      </c>
      <c r="I8" s="975">
        <v>0</v>
      </c>
      <c r="O8" s="1096"/>
      <c r="P8" s="1096"/>
      <c r="Q8" s="1096"/>
      <c r="R8" s="1096"/>
      <c r="S8" s="1096"/>
    </row>
    <row r="9" spans="1:21" ht="12.75" customHeight="1">
      <c r="A9" s="2288"/>
      <c r="B9" s="1105" t="s">
        <v>1915</v>
      </c>
      <c r="C9" s="1106">
        <v>823.13530415139996</v>
      </c>
      <c r="D9" s="1106">
        <v>287.16525999999999</v>
      </c>
      <c r="E9" s="1106">
        <v>93.14</v>
      </c>
      <c r="F9" s="1106">
        <v>83.62</v>
      </c>
      <c r="G9" s="1107">
        <v>8.4</v>
      </c>
      <c r="H9" s="990">
        <v>1.674982</v>
      </c>
      <c r="I9" s="146">
        <v>0</v>
      </c>
      <c r="O9" s="1096"/>
      <c r="P9" s="1096"/>
      <c r="Q9" s="1096"/>
      <c r="R9" s="1096"/>
      <c r="S9" s="1096"/>
    </row>
    <row r="10" spans="1:21" ht="12.75" customHeight="1">
      <c r="A10" s="2288"/>
      <c r="B10" s="1101" t="s">
        <v>1916</v>
      </c>
      <c r="C10" s="1102">
        <v>1669.18179208316</v>
      </c>
      <c r="D10" s="1102">
        <v>15212.920550000001</v>
      </c>
      <c r="E10" s="1102">
        <v>80.239999999999995</v>
      </c>
      <c r="F10" s="1102">
        <v>335.86</v>
      </c>
      <c r="G10" s="1103">
        <v>15.9</v>
      </c>
      <c r="H10" s="991">
        <v>107.198848</v>
      </c>
      <c r="I10" s="975">
        <v>0</v>
      </c>
      <c r="O10" s="1096"/>
      <c r="P10" s="1096"/>
      <c r="Q10" s="1096"/>
      <c r="R10" s="1096"/>
      <c r="S10" s="1096"/>
    </row>
    <row r="11" spans="1:21" ht="12.75" customHeight="1">
      <c r="A11" s="2289"/>
      <c r="B11" s="1105" t="s">
        <v>1917</v>
      </c>
      <c r="C11" s="1106">
        <v>1623.0082725028499</v>
      </c>
      <c r="D11" s="1106">
        <v>2050.12255</v>
      </c>
      <c r="E11" s="1106">
        <v>280.10000000000002</v>
      </c>
      <c r="F11" s="1106">
        <v>606.12</v>
      </c>
      <c r="G11" s="1107">
        <v>26.8</v>
      </c>
      <c r="H11" s="990">
        <v>2798.894922</v>
      </c>
      <c r="I11" s="146">
        <v>0</v>
      </c>
      <c r="O11" s="1096"/>
      <c r="P11" s="1096"/>
      <c r="Q11" s="1096"/>
      <c r="R11" s="1096"/>
      <c r="S11" s="1096"/>
    </row>
    <row r="12" spans="1:21" ht="12.75" customHeight="1">
      <c r="A12" s="2283" t="s">
        <v>1719</v>
      </c>
      <c r="B12" s="1108" t="s">
        <v>1911</v>
      </c>
      <c r="C12" s="1102">
        <v>226.87004751752704</v>
      </c>
      <c r="D12" s="1102">
        <v>162.50452999999999</v>
      </c>
      <c r="E12" s="1102">
        <v>4.84</v>
      </c>
      <c r="F12" s="1102">
        <v>8.86</v>
      </c>
      <c r="G12" s="1103">
        <v>20.100000000000001</v>
      </c>
      <c r="H12" s="975">
        <v>0</v>
      </c>
      <c r="I12" s="975">
        <v>0</v>
      </c>
      <c r="O12" s="1096"/>
      <c r="P12" s="1096"/>
      <c r="Q12" s="1096"/>
      <c r="R12" s="1096"/>
      <c r="S12" s="1096"/>
    </row>
    <row r="13" spans="1:21" s="1026" customFormat="1" ht="12.75" customHeight="1">
      <c r="A13" s="2283" t="s">
        <v>1719</v>
      </c>
      <c r="B13" s="1109" t="s">
        <v>1912</v>
      </c>
      <c r="C13" s="1110">
        <v>118.095032969244</v>
      </c>
      <c r="D13" s="1110">
        <v>1502.5912499999999</v>
      </c>
      <c r="E13" s="1110">
        <v>17.350000000000001</v>
      </c>
      <c r="F13" s="1110">
        <v>437.02</v>
      </c>
      <c r="G13" s="1111">
        <v>2.5</v>
      </c>
      <c r="H13" s="1016">
        <v>0</v>
      </c>
      <c r="I13" s="1016">
        <v>0</v>
      </c>
      <c r="O13" s="1112"/>
      <c r="P13" s="1112"/>
      <c r="Q13" s="1112"/>
      <c r="R13" s="1112"/>
      <c r="S13" s="1112"/>
    </row>
    <row r="14" spans="1:21" ht="12.75" customHeight="1">
      <c r="A14" s="2283" t="s">
        <v>1719</v>
      </c>
      <c r="B14" s="1108" t="s">
        <v>1913</v>
      </c>
      <c r="C14" s="1102">
        <v>24388.914722082849</v>
      </c>
      <c r="D14" s="1102">
        <v>169125.15202000001</v>
      </c>
      <c r="E14" s="1102">
        <v>11691.47</v>
      </c>
      <c r="F14" s="1102">
        <v>18014.57</v>
      </c>
      <c r="G14" s="1103">
        <v>110.7</v>
      </c>
      <c r="H14" s="991">
        <v>867.13626471999999</v>
      </c>
      <c r="I14" s="991">
        <v>0</v>
      </c>
      <c r="O14" s="1096"/>
      <c r="P14" s="1096"/>
      <c r="Q14" s="1096"/>
      <c r="R14" s="1096"/>
      <c r="S14" s="1096"/>
    </row>
    <row r="15" spans="1:21" s="1026" customFormat="1" ht="12.75" customHeight="1">
      <c r="A15" s="2283" t="s">
        <v>1719</v>
      </c>
      <c r="B15" s="1109" t="s">
        <v>1914</v>
      </c>
      <c r="C15" s="1110">
        <v>83.128454037027012</v>
      </c>
      <c r="D15" s="1110">
        <v>702.13027</v>
      </c>
      <c r="E15" s="1110">
        <v>44.53</v>
      </c>
      <c r="F15" s="1110">
        <v>110.04</v>
      </c>
      <c r="G15" s="1111">
        <v>344.7</v>
      </c>
      <c r="H15" s="1017">
        <v>0</v>
      </c>
      <c r="I15" s="1016">
        <v>0</v>
      </c>
      <c r="O15" s="1112"/>
      <c r="P15" s="1112"/>
      <c r="Q15" s="1112"/>
      <c r="R15" s="1112"/>
      <c r="S15" s="1112"/>
    </row>
    <row r="16" spans="1:21" ht="12.75" customHeight="1">
      <c r="A16" s="2283" t="s">
        <v>1719</v>
      </c>
      <c r="B16" s="1108" t="s">
        <v>1915</v>
      </c>
      <c r="C16" s="1102">
        <v>766.6909617705661</v>
      </c>
      <c r="D16" s="1102">
        <v>313.68084000000005</v>
      </c>
      <c r="E16" s="1102">
        <v>280.12</v>
      </c>
      <c r="F16" s="1102">
        <v>90.25</v>
      </c>
      <c r="G16" s="1103">
        <v>16.8</v>
      </c>
      <c r="H16" s="991">
        <v>2.5158692399999998</v>
      </c>
      <c r="I16" s="975">
        <v>0</v>
      </c>
      <c r="O16" s="1096"/>
      <c r="P16" s="1096"/>
      <c r="Q16" s="1096"/>
      <c r="R16" s="1096"/>
      <c r="S16" s="1096"/>
    </row>
    <row r="17" spans="1:19" s="1026" customFormat="1" ht="12.75" customHeight="1">
      <c r="A17" s="2283" t="s">
        <v>1719</v>
      </c>
      <c r="B17" s="1109" t="s">
        <v>1916</v>
      </c>
      <c r="C17" s="1110">
        <v>1505.3433058378166</v>
      </c>
      <c r="D17" s="1110">
        <v>18286.456149999998</v>
      </c>
      <c r="E17" s="1110">
        <v>100.67</v>
      </c>
      <c r="F17" s="1110">
        <v>445.38</v>
      </c>
      <c r="G17" s="1111">
        <v>12.6</v>
      </c>
      <c r="H17" s="1017">
        <v>83.862307999999999</v>
      </c>
      <c r="I17" s="1017">
        <v>7.5476077199999994</v>
      </c>
      <c r="O17" s="1112"/>
      <c r="P17" s="1112"/>
      <c r="Q17" s="1112"/>
      <c r="R17" s="1112"/>
      <c r="S17" s="1112"/>
    </row>
    <row r="18" spans="1:19" ht="12.75" customHeight="1">
      <c r="A18" s="2283" t="s">
        <v>1719</v>
      </c>
      <c r="B18" s="1108" t="s">
        <v>1917</v>
      </c>
      <c r="C18" s="1102">
        <v>731.0608258817972</v>
      </c>
      <c r="D18" s="1102">
        <v>1631.5438700000002</v>
      </c>
      <c r="E18" s="1102">
        <v>269.55</v>
      </c>
      <c r="F18" s="1102">
        <v>997.99</v>
      </c>
      <c r="G18" s="1103">
        <v>43.6</v>
      </c>
      <c r="H18" s="991">
        <v>716.18411031999995</v>
      </c>
      <c r="I18" s="975">
        <v>0</v>
      </c>
      <c r="O18" s="1096"/>
      <c r="P18" s="1096"/>
      <c r="Q18" s="1096"/>
      <c r="R18" s="1096"/>
      <c r="S18" s="1096"/>
    </row>
    <row r="19" spans="1:19" s="1026" customFormat="1" ht="12.75" customHeight="1">
      <c r="A19" s="2283" t="s">
        <v>1574</v>
      </c>
      <c r="B19" s="1109" t="s">
        <v>1911</v>
      </c>
      <c r="C19" s="1110">
        <v>88.837692103700007</v>
      </c>
      <c r="D19" s="1110">
        <v>198.89928</v>
      </c>
      <c r="E19" s="1110">
        <v>17.440000000000001</v>
      </c>
      <c r="F19" s="1110">
        <v>7.28</v>
      </c>
      <c r="G19" s="1111">
        <v>48.8</v>
      </c>
      <c r="H19" s="1016">
        <v>0</v>
      </c>
      <c r="I19" s="1016">
        <v>0</v>
      </c>
      <c r="O19" s="1112"/>
      <c r="P19" s="1112"/>
      <c r="Q19" s="1112"/>
      <c r="R19" s="1112"/>
      <c r="S19" s="1112"/>
    </row>
    <row r="20" spans="1:19" ht="12.75" customHeight="1">
      <c r="A20" s="2283" t="s">
        <v>1574</v>
      </c>
      <c r="B20" s="1108" t="s">
        <v>1912</v>
      </c>
      <c r="C20" s="1102">
        <v>89.169800030200022</v>
      </c>
      <c r="D20" s="1102">
        <v>2271.4460199999999</v>
      </c>
      <c r="E20" s="1102">
        <v>21.01</v>
      </c>
      <c r="F20" s="1102">
        <v>667.23</v>
      </c>
      <c r="G20" s="1103">
        <v>3.4</v>
      </c>
      <c r="H20" s="975">
        <v>0</v>
      </c>
      <c r="I20" s="975">
        <v>0</v>
      </c>
      <c r="O20" s="1096"/>
      <c r="P20" s="1096"/>
      <c r="Q20" s="1096"/>
      <c r="R20" s="1096"/>
      <c r="S20" s="1096"/>
    </row>
    <row r="21" spans="1:19" s="1026" customFormat="1" ht="12.75" customHeight="1">
      <c r="A21" s="2283" t="s">
        <v>1574</v>
      </c>
      <c r="B21" s="1109" t="s">
        <v>1913</v>
      </c>
      <c r="C21" s="1110">
        <v>26793.450405848602</v>
      </c>
      <c r="D21" s="1110">
        <v>188818.56834999999</v>
      </c>
      <c r="E21" s="1110">
        <v>12279.54</v>
      </c>
      <c r="F21" s="1110">
        <v>14833.9</v>
      </c>
      <c r="G21" s="1111">
        <v>141.19999999999999</v>
      </c>
      <c r="H21" s="1017">
        <v>1999.0131937600001</v>
      </c>
      <c r="I21" s="1017">
        <v>0.84062792000000008</v>
      </c>
      <c r="O21" s="1112"/>
      <c r="P21" s="1112"/>
      <c r="Q21" s="1112"/>
      <c r="R21" s="1112"/>
      <c r="S21" s="1112"/>
    </row>
    <row r="22" spans="1:19" ht="12.75" customHeight="1">
      <c r="A22" s="2283" t="s">
        <v>1574</v>
      </c>
      <c r="B22" s="1108" t="s">
        <v>1914</v>
      </c>
      <c r="C22" s="1102">
        <v>122.96709032050002</v>
      </c>
      <c r="D22" s="1102">
        <v>55.968290000000003</v>
      </c>
      <c r="E22" s="1102">
        <v>34</v>
      </c>
      <c r="F22" s="1102">
        <v>77.69</v>
      </c>
      <c r="G22" s="1103">
        <v>470.8</v>
      </c>
      <c r="H22" s="991">
        <v>-10.92816296</v>
      </c>
      <c r="I22" s="975">
        <v>0</v>
      </c>
      <c r="O22" s="1096"/>
      <c r="P22" s="1096"/>
      <c r="Q22" s="1096"/>
      <c r="R22" s="1096"/>
      <c r="S22" s="1096"/>
    </row>
    <row r="23" spans="1:19" s="1026" customFormat="1" ht="12.75" customHeight="1">
      <c r="A23" s="2283" t="s">
        <v>1574</v>
      </c>
      <c r="B23" s="1109" t="s">
        <v>1915</v>
      </c>
      <c r="C23" s="1110">
        <v>902.59781709629988</v>
      </c>
      <c r="D23" s="1110">
        <v>160.95348999999999</v>
      </c>
      <c r="E23" s="1110">
        <v>331.76</v>
      </c>
      <c r="F23" s="1110">
        <v>72.48</v>
      </c>
      <c r="G23" s="1111">
        <v>14.3</v>
      </c>
      <c r="H23" s="1017">
        <v>2.5218837600000001</v>
      </c>
      <c r="I23" s="1016">
        <v>0</v>
      </c>
      <c r="O23" s="1112"/>
      <c r="P23" s="1112"/>
      <c r="Q23" s="1112"/>
      <c r="R23" s="1112"/>
      <c r="S23" s="1112"/>
    </row>
    <row r="24" spans="1:19" ht="12.75" customHeight="1">
      <c r="A24" s="2283" t="s">
        <v>1574</v>
      </c>
      <c r="B24" s="1108" t="s">
        <v>1916</v>
      </c>
      <c r="C24" s="1102">
        <v>1128.4508558321002</v>
      </c>
      <c r="D24" s="1102">
        <v>18510.300890000002</v>
      </c>
      <c r="E24" s="1102">
        <v>61.29</v>
      </c>
      <c r="F24" s="1102">
        <v>482.66</v>
      </c>
      <c r="G24" s="1103">
        <v>17.7</v>
      </c>
      <c r="H24" s="991">
        <v>232.01330591999999</v>
      </c>
      <c r="I24" s="991">
        <v>1.6812558400000002</v>
      </c>
      <c r="O24" s="1096"/>
      <c r="P24" s="1096"/>
      <c r="Q24" s="1096"/>
      <c r="R24" s="1096"/>
      <c r="S24" s="1096"/>
    </row>
    <row r="25" spans="1:19" s="1026" customFormat="1" ht="12.75" customHeight="1">
      <c r="A25" s="2283" t="s">
        <v>1574</v>
      </c>
      <c r="B25" s="1109" t="s">
        <v>1917</v>
      </c>
      <c r="C25" s="1110">
        <v>781.7468151142001</v>
      </c>
      <c r="D25" s="1110">
        <v>1782.4796399999998</v>
      </c>
      <c r="E25" s="1110">
        <v>275.04000000000002</v>
      </c>
      <c r="F25" s="1110">
        <v>1247.73</v>
      </c>
      <c r="G25" s="1111">
        <v>12.6</v>
      </c>
      <c r="H25" s="1017">
        <v>6.7250233600000007</v>
      </c>
      <c r="I25" s="1017">
        <v>0</v>
      </c>
      <c r="O25" s="1112"/>
      <c r="P25" s="1112"/>
      <c r="Q25" s="1112"/>
      <c r="R25" s="1112"/>
      <c r="S25" s="1112"/>
    </row>
    <row r="26" spans="1:19" ht="12.75" customHeight="1">
      <c r="A26" s="2283" t="s">
        <v>1575</v>
      </c>
      <c r="B26" s="1108" t="s">
        <v>1911</v>
      </c>
      <c r="C26" s="1102">
        <v>79.671216030736957</v>
      </c>
      <c r="D26" s="1102">
        <v>256.49608999999998</v>
      </c>
      <c r="E26" s="1102">
        <v>11.91</v>
      </c>
      <c r="F26" s="1102">
        <v>1.81</v>
      </c>
      <c r="G26" s="1103">
        <v>15.2</v>
      </c>
      <c r="H26" s="975">
        <v>0</v>
      </c>
      <c r="I26" s="975">
        <v>0</v>
      </c>
      <c r="O26" s="1096"/>
      <c r="P26" s="1096"/>
      <c r="Q26" s="1096"/>
      <c r="R26" s="1096"/>
      <c r="S26" s="1096"/>
    </row>
    <row r="27" spans="1:19" s="1026" customFormat="1" ht="12.75" customHeight="1">
      <c r="A27" s="2283" t="s">
        <v>1918</v>
      </c>
      <c r="B27" s="1109" t="s">
        <v>1912</v>
      </c>
      <c r="C27" s="1110">
        <v>233.564745880857</v>
      </c>
      <c r="D27" s="1110">
        <v>1571.3355300000001</v>
      </c>
      <c r="E27" s="1110">
        <v>16.68</v>
      </c>
      <c r="F27" s="1110">
        <v>667.71</v>
      </c>
      <c r="G27" s="1111">
        <v>2.5</v>
      </c>
      <c r="H27" s="1016">
        <v>0</v>
      </c>
      <c r="I27" s="1016">
        <v>0</v>
      </c>
      <c r="O27" s="1112"/>
      <c r="P27" s="1112"/>
      <c r="Q27" s="1112"/>
      <c r="R27" s="1112"/>
      <c r="S27" s="1112"/>
    </row>
    <row r="28" spans="1:19" ht="12.75" customHeight="1">
      <c r="A28" s="2283" t="s">
        <v>1918</v>
      </c>
      <c r="B28" s="1108" t="s">
        <v>1913</v>
      </c>
      <c r="C28" s="1102">
        <v>22075.632561906441</v>
      </c>
      <c r="D28" s="1102">
        <v>166679.11286000002</v>
      </c>
      <c r="E28" s="1102">
        <v>10642.33</v>
      </c>
      <c r="F28" s="1102">
        <v>16927.93</v>
      </c>
      <c r="G28" s="1103">
        <v>143.5</v>
      </c>
      <c r="H28" s="991">
        <v>2590.629171</v>
      </c>
      <c r="I28" s="991">
        <v>2.5332097500000001</v>
      </c>
      <c r="O28" s="1096"/>
      <c r="P28" s="1096"/>
      <c r="Q28" s="1096"/>
      <c r="R28" s="1096"/>
      <c r="S28" s="1096"/>
    </row>
    <row r="29" spans="1:19" s="1026" customFormat="1" ht="12.75" customHeight="1">
      <c r="A29" s="2283" t="s">
        <v>1918</v>
      </c>
      <c r="B29" s="1109" t="s">
        <v>1914</v>
      </c>
      <c r="C29" s="1110">
        <v>159.325923414313</v>
      </c>
      <c r="D29" s="1110">
        <v>64.866709999999998</v>
      </c>
      <c r="E29" s="1110">
        <v>26.3</v>
      </c>
      <c r="F29" s="1110">
        <v>80.849999999999994</v>
      </c>
      <c r="G29" s="1111">
        <v>688.3</v>
      </c>
      <c r="H29" s="1089">
        <v>-1.6888065000000001</v>
      </c>
      <c r="I29" s="1016">
        <v>0</v>
      </c>
      <c r="O29" s="1112"/>
      <c r="P29" s="1112"/>
      <c r="Q29" s="1112"/>
      <c r="R29" s="1112"/>
      <c r="S29" s="1112"/>
    </row>
    <row r="30" spans="1:19" ht="12.75" customHeight="1">
      <c r="A30" s="2283" t="s">
        <v>1918</v>
      </c>
      <c r="B30" s="1108" t="s">
        <v>1915</v>
      </c>
      <c r="C30" s="1102">
        <v>698.2113966001773</v>
      </c>
      <c r="D30" s="1102">
        <v>234.97286</v>
      </c>
      <c r="E30" s="1102">
        <v>165.63</v>
      </c>
      <c r="F30" s="1102">
        <v>59.96</v>
      </c>
      <c r="G30" s="1103">
        <v>12.7</v>
      </c>
      <c r="H30" s="991">
        <v>1.6888065000000001</v>
      </c>
      <c r="I30" s="975">
        <v>0</v>
      </c>
      <c r="O30" s="1096"/>
      <c r="P30" s="1096"/>
      <c r="Q30" s="1096"/>
      <c r="R30" s="1096"/>
      <c r="S30" s="1096"/>
    </row>
    <row r="31" spans="1:19" s="1026" customFormat="1" ht="12.75" customHeight="1">
      <c r="A31" s="2283" t="s">
        <v>1918</v>
      </c>
      <c r="B31" s="1109" t="s">
        <v>1916</v>
      </c>
      <c r="C31" s="1110">
        <v>425.34926854715513</v>
      </c>
      <c r="D31" s="1110">
        <v>14736.58223</v>
      </c>
      <c r="E31" s="1110">
        <v>57.94</v>
      </c>
      <c r="F31" s="1110">
        <v>399.16</v>
      </c>
      <c r="G31" s="1111">
        <v>16.899999999999999</v>
      </c>
      <c r="H31" s="1017">
        <v>1124.7451290000001</v>
      </c>
      <c r="I31" s="1016">
        <v>0</v>
      </c>
      <c r="O31" s="1112"/>
      <c r="P31" s="1112"/>
      <c r="Q31" s="1112"/>
      <c r="R31" s="1112"/>
      <c r="S31" s="1112"/>
    </row>
    <row r="32" spans="1:19" ht="12.75" customHeight="1">
      <c r="A32" s="2284" t="s">
        <v>1918</v>
      </c>
      <c r="B32" s="1113" t="s">
        <v>1917</v>
      </c>
      <c r="C32" s="1114">
        <v>683.3814797971462</v>
      </c>
      <c r="D32" s="1114">
        <v>1857.7778899999998</v>
      </c>
      <c r="E32" s="1115">
        <v>587.64</v>
      </c>
      <c r="F32" s="1115">
        <v>1382.93</v>
      </c>
      <c r="G32" s="1116">
        <v>18.600000000000001</v>
      </c>
      <c r="H32" s="991">
        <v>4120.68786</v>
      </c>
      <c r="I32" s="975">
        <v>0</v>
      </c>
      <c r="O32" s="1096"/>
      <c r="P32" s="1096"/>
      <c r="Q32" s="1096"/>
      <c r="R32" s="1096"/>
      <c r="S32" s="1096"/>
    </row>
    <row r="33" spans="1:9">
      <c r="A33" s="8" t="s">
        <v>1501</v>
      </c>
      <c r="B33" s="8" t="s">
        <v>1919</v>
      </c>
      <c r="C33" s="974"/>
      <c r="D33" s="974"/>
      <c r="E33" s="974"/>
      <c r="F33" s="974"/>
      <c r="G33" s="974"/>
      <c r="H33" s="1"/>
      <c r="I33" s="4"/>
    </row>
    <row r="34" spans="1:9">
      <c r="A34" s="1"/>
      <c r="B34" s="8" t="s">
        <v>1920</v>
      </c>
      <c r="C34" s="974"/>
      <c r="D34" s="974"/>
      <c r="G34" s="34" t="s">
        <v>1921</v>
      </c>
      <c r="H34" s="1"/>
      <c r="I34" s="4"/>
    </row>
    <row r="35" spans="1:9" ht="13.5" customHeight="1">
      <c r="A35" s="1117" t="s">
        <v>392</v>
      </c>
      <c r="B35" s="1136" t="s">
        <v>1922</v>
      </c>
      <c r="C35" s="1137"/>
      <c r="D35" s="1137"/>
      <c r="E35" s="1137"/>
      <c r="F35" s="1137"/>
      <c r="G35" s="1137"/>
      <c r="H35" s="1140"/>
      <c r="I35" s="4"/>
    </row>
    <row r="36" spans="1:9">
      <c r="A36" s="8"/>
      <c r="B36" s="331" t="s">
        <v>2544</v>
      </c>
      <c r="C36" s="34"/>
      <c r="D36" s="34"/>
      <c r="E36" s="34"/>
      <c r="F36" s="34"/>
      <c r="G36" s="34"/>
      <c r="H36" s="1141"/>
      <c r="I36" s="1142"/>
    </row>
    <row r="37" spans="1:9">
      <c r="B37" s="1418" t="s">
        <v>2543</v>
      </c>
      <c r="C37" s="34"/>
    </row>
  </sheetData>
  <mergeCells count="7">
    <mergeCell ref="A19:A25"/>
    <mergeCell ref="A26:A32"/>
    <mergeCell ref="A1:H1"/>
    <mergeCell ref="A4:B4"/>
    <mergeCell ref="A5:A11"/>
    <mergeCell ref="A12:A18"/>
    <mergeCell ref="A3:B3"/>
  </mergeCells>
  <pageMargins left="0.45" right="0" top="0.5" bottom="0.25" header="0.3" footer="0.3"/>
  <pageSetup paperSize="448" firstPageNumber="108" orientation="portrait" useFirstPageNumber="1" r:id="rId1"/>
  <headerFooter alignWithMargins="0">
    <oddFooter>&amp;C&amp;"Times New Roman,Regular"&amp;8&amp;P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Q79"/>
  <sheetViews>
    <sheetView zoomScale="130" zoomScaleNormal="130" workbookViewId="0">
      <pane xSplit="1" ySplit="7" topLeftCell="F23" activePane="bottomRight" state="frozen"/>
      <selection activeCell="F85" sqref="F85"/>
      <selection pane="topRight" activeCell="F85" sqref="F85"/>
      <selection pane="bottomLeft" activeCell="F85" sqref="F85"/>
      <selection pane="bottomRight" activeCell="Q29" sqref="Q29"/>
    </sheetView>
  </sheetViews>
  <sheetFormatPr defaultColWidth="9.140625" defaultRowHeight="11.25"/>
  <cols>
    <col min="1" max="1" width="8.85546875" style="8" customWidth="1"/>
    <col min="2" max="3" width="9.28515625" style="8" customWidth="1"/>
    <col min="4" max="4" width="9.5703125" style="8" customWidth="1"/>
    <col min="5" max="5" width="9.28515625" style="8" customWidth="1"/>
    <col min="6" max="6" width="9.140625" style="8" customWidth="1"/>
    <col min="7" max="7" width="8" style="8" customWidth="1"/>
    <col min="8" max="8" width="6.42578125" style="8" customWidth="1"/>
    <col min="9" max="9" width="7" style="8" customWidth="1"/>
    <col min="10" max="10" width="6.7109375" style="8" customWidth="1"/>
    <col min="11" max="11" width="12.28515625" style="8" customWidth="1"/>
    <col min="12" max="12" width="14.5703125" style="8" customWidth="1"/>
    <col min="13" max="13" width="14.28515625" style="8" customWidth="1"/>
    <col min="14" max="14" width="14.140625" style="8" customWidth="1"/>
    <col min="15" max="15" width="15" style="8" customWidth="1"/>
    <col min="16" max="16" width="10.85546875" style="8" customWidth="1"/>
    <col min="17" max="17" width="11.7109375" style="8" bestFit="1" customWidth="1"/>
    <col min="18" max="16384" width="9.140625" style="8"/>
  </cols>
  <sheetData>
    <row r="1" spans="1:69" s="42" customFormat="1" ht="15.75">
      <c r="A1" s="1806"/>
      <c r="B1" s="1806"/>
      <c r="C1" s="1806"/>
      <c r="D1" s="1806"/>
      <c r="E1" s="1806"/>
      <c r="F1" s="1806"/>
      <c r="G1" s="1762" t="s">
        <v>148</v>
      </c>
      <c r="H1" s="1762"/>
      <c r="I1" s="1762"/>
      <c r="J1" s="1762"/>
      <c r="K1" s="51" t="s">
        <v>452</v>
      </c>
      <c r="L1" s="43"/>
      <c r="M1" s="43"/>
      <c r="N1" s="43"/>
      <c r="O1" s="1786" t="s">
        <v>228</v>
      </c>
      <c r="P1" s="1786"/>
      <c r="Q1" s="43"/>
      <c r="R1" s="43"/>
      <c r="S1" s="43"/>
    </row>
    <row r="2" spans="1:69" s="2" customFormat="1" ht="12.75" customHeight="1">
      <c r="A2" s="238"/>
      <c r="B2" s="238"/>
      <c r="C2" s="238"/>
      <c r="D2" s="238"/>
      <c r="E2" s="238"/>
      <c r="F2" s="1785" t="s">
        <v>1072</v>
      </c>
      <c r="G2" s="1785"/>
      <c r="H2" s="1785"/>
      <c r="I2" s="1785"/>
      <c r="J2" s="1785"/>
      <c r="K2" s="209" t="s">
        <v>1666</v>
      </c>
      <c r="L2" s="209"/>
      <c r="O2" s="1787"/>
      <c r="P2" s="1787"/>
    </row>
    <row r="3" spans="1:69" s="220" customFormat="1" ht="23.25" customHeight="1">
      <c r="A3" s="1782" t="s">
        <v>663</v>
      </c>
      <c r="B3" s="1795" t="s">
        <v>1113</v>
      </c>
      <c r="C3" s="1795"/>
      <c r="D3" s="1795"/>
      <c r="E3" s="1796"/>
      <c r="F3" s="1788" t="s">
        <v>761</v>
      </c>
      <c r="G3" s="1789"/>
      <c r="H3" s="1789"/>
      <c r="I3" s="1789"/>
      <c r="J3" s="1790"/>
      <c r="K3" s="1793" t="s">
        <v>2118</v>
      </c>
      <c r="L3" s="1811"/>
      <c r="M3" s="1794"/>
      <c r="N3" s="1793" t="s">
        <v>419</v>
      </c>
      <c r="O3" s="1794"/>
      <c r="P3" s="1799" t="s">
        <v>663</v>
      </c>
    </row>
    <row r="4" spans="1:69" s="220" customFormat="1" ht="23.25" customHeight="1">
      <c r="A4" s="1782"/>
      <c r="B4" s="1797"/>
      <c r="C4" s="1797"/>
      <c r="D4" s="1797"/>
      <c r="E4" s="1798"/>
      <c r="F4" s="1784" t="s">
        <v>223</v>
      </c>
      <c r="G4" s="1784"/>
      <c r="H4" s="1802" t="s">
        <v>1129</v>
      </c>
      <c r="I4" s="1802"/>
      <c r="J4" s="1802"/>
      <c r="K4" s="1803" t="s">
        <v>224</v>
      </c>
      <c r="L4" s="1804"/>
      <c r="M4" s="1783" t="s">
        <v>2698</v>
      </c>
      <c r="N4" s="1791" t="s">
        <v>1507</v>
      </c>
      <c r="O4" s="1792"/>
      <c r="P4" s="1800"/>
    </row>
    <row r="5" spans="1:69" s="220" customFormat="1" ht="21.75" customHeight="1">
      <c r="A5" s="1782"/>
      <c r="B5" s="1808" t="s">
        <v>1109</v>
      </c>
      <c r="C5" s="1780" t="s">
        <v>1110</v>
      </c>
      <c r="D5" s="1780" t="s">
        <v>1111</v>
      </c>
      <c r="E5" s="1780" t="s">
        <v>1112</v>
      </c>
      <c r="F5" s="1784" t="s">
        <v>762</v>
      </c>
      <c r="G5" s="1784" t="s">
        <v>763</v>
      </c>
      <c r="H5" s="1784" t="s">
        <v>1114</v>
      </c>
      <c r="I5" s="1784" t="s">
        <v>222</v>
      </c>
      <c r="J5" s="1784" t="s">
        <v>672</v>
      </c>
      <c r="K5" s="1783" t="s">
        <v>1506</v>
      </c>
      <c r="L5" s="1783" t="s">
        <v>1628</v>
      </c>
      <c r="M5" s="1766"/>
      <c r="N5" s="1783" t="s">
        <v>1362</v>
      </c>
      <c r="O5" s="1783" t="s">
        <v>1361</v>
      </c>
      <c r="P5" s="1800"/>
    </row>
    <row r="6" spans="1:69" s="220" customFormat="1" ht="14.25" customHeight="1">
      <c r="A6" s="1782"/>
      <c r="B6" s="1809"/>
      <c r="C6" s="1781"/>
      <c r="D6" s="1781"/>
      <c r="E6" s="1781"/>
      <c r="F6" s="1751"/>
      <c r="G6" s="1751"/>
      <c r="H6" s="1751"/>
      <c r="I6" s="1751"/>
      <c r="J6" s="1751"/>
      <c r="K6" s="1721"/>
      <c r="L6" s="1721"/>
      <c r="M6" s="1721"/>
      <c r="N6" s="1721"/>
      <c r="O6" s="1721"/>
      <c r="P6" s="1800"/>
    </row>
    <row r="7" spans="1:69" s="34" customFormat="1" ht="12.75" customHeight="1">
      <c r="A7" s="1782"/>
      <c r="B7" s="841">
        <v>1</v>
      </c>
      <c r="C7" s="44">
        <v>2</v>
      </c>
      <c r="D7" s="44">
        <v>3</v>
      </c>
      <c r="E7" s="44">
        <v>4</v>
      </c>
      <c r="F7" s="44">
        <v>5</v>
      </c>
      <c r="G7" s="44">
        <v>6</v>
      </c>
      <c r="H7" s="44">
        <v>7</v>
      </c>
      <c r="I7" s="44">
        <v>8</v>
      </c>
      <c r="J7" s="44">
        <v>9</v>
      </c>
      <c r="K7" s="44">
        <v>10</v>
      </c>
      <c r="L7" s="44">
        <v>11</v>
      </c>
      <c r="M7" s="44">
        <v>12</v>
      </c>
      <c r="N7" s="44">
        <v>13</v>
      </c>
      <c r="O7" s="44">
        <v>14</v>
      </c>
      <c r="P7" s="180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spans="1:69" s="448" customFormat="1" ht="9" customHeight="1">
      <c r="A8" s="436" t="s">
        <v>225</v>
      </c>
      <c r="B8" s="280">
        <v>11.14</v>
      </c>
      <c r="C8" s="280">
        <v>10.17</v>
      </c>
      <c r="D8" s="280" t="s">
        <v>430</v>
      </c>
      <c r="E8" s="418">
        <v>8.8000000000000007</v>
      </c>
      <c r="F8" s="280" t="s">
        <v>430</v>
      </c>
      <c r="G8" s="280" t="s">
        <v>430</v>
      </c>
      <c r="H8" s="591">
        <v>520.5</v>
      </c>
      <c r="I8" s="591">
        <v>58.416666666666664</v>
      </c>
      <c r="J8" s="591">
        <v>596.14806625547919</v>
      </c>
      <c r="K8" s="288">
        <v>22928.2</v>
      </c>
      <c r="L8" s="288">
        <v>33657.5</v>
      </c>
      <c r="M8" s="288">
        <v>10485.209999999999</v>
      </c>
      <c r="N8" s="447">
        <v>71.216399999999993</v>
      </c>
      <c r="O8" s="447">
        <v>74.149299999999997</v>
      </c>
      <c r="P8" s="446" t="s">
        <v>225</v>
      </c>
    </row>
    <row r="9" spans="1:69" s="448" customFormat="1" ht="9" customHeight="1">
      <c r="A9" s="399" t="s">
        <v>972</v>
      </c>
      <c r="B9" s="366">
        <v>5.54</v>
      </c>
      <c r="C9" s="366">
        <v>8.56</v>
      </c>
      <c r="D9" s="366" t="s">
        <v>430</v>
      </c>
      <c r="E9" s="367">
        <v>10.62</v>
      </c>
      <c r="F9" s="366" t="s">
        <v>430</v>
      </c>
      <c r="G9" s="366" t="s">
        <v>430</v>
      </c>
      <c r="H9" s="368">
        <v>570.41666666666663</v>
      </c>
      <c r="I9" s="368">
        <v>73.75</v>
      </c>
      <c r="J9" s="368">
        <v>651.7398366887777</v>
      </c>
      <c r="K9" s="361">
        <v>24302.000000000004</v>
      </c>
      <c r="L9" s="361">
        <v>35516.300000000003</v>
      </c>
      <c r="M9" s="361">
        <v>10365.17</v>
      </c>
      <c r="N9" s="438">
        <v>79.2102</v>
      </c>
      <c r="O9" s="438">
        <v>81.815799999999996</v>
      </c>
      <c r="P9" s="439" t="s">
        <v>972</v>
      </c>
    </row>
    <row r="10" spans="1:69" s="448" customFormat="1" ht="9" customHeight="1">
      <c r="A10" s="322" t="s">
        <v>1107</v>
      </c>
      <c r="B10" s="324">
        <v>8.0500000000000007</v>
      </c>
      <c r="C10" s="324">
        <v>7.97</v>
      </c>
      <c r="D10" s="324">
        <v>6.78</v>
      </c>
      <c r="E10" s="325">
        <v>7.7</v>
      </c>
      <c r="F10" s="324" t="s">
        <v>430</v>
      </c>
      <c r="G10" s="324" t="s">
        <v>430</v>
      </c>
      <c r="H10" s="477">
        <v>620.91666666666663</v>
      </c>
      <c r="I10" s="477">
        <v>83.75</v>
      </c>
      <c r="J10" s="477">
        <v>708.87122270064776</v>
      </c>
      <c r="K10" s="294">
        <v>27027.45</v>
      </c>
      <c r="L10" s="294">
        <v>34083.599999999999</v>
      </c>
      <c r="M10" s="294">
        <v>15318.34</v>
      </c>
      <c r="N10" s="452">
        <v>79.935900000000004</v>
      </c>
      <c r="O10" s="452">
        <v>77.759299999999996</v>
      </c>
      <c r="P10" s="474" t="s">
        <v>1107</v>
      </c>
    </row>
    <row r="11" spans="1:69" s="324" customFormat="1" ht="9" customHeight="1">
      <c r="A11" s="399" t="s">
        <v>1347</v>
      </c>
      <c r="B11" s="367">
        <v>6.97</v>
      </c>
      <c r="C11" s="367" t="s">
        <v>430</v>
      </c>
      <c r="D11" s="367">
        <v>7.35</v>
      </c>
      <c r="E11" s="367" t="s">
        <v>430</v>
      </c>
      <c r="F11" s="367" t="s">
        <v>430</v>
      </c>
      <c r="G11" s="367" t="s">
        <v>430</v>
      </c>
      <c r="H11" s="367" t="s">
        <v>430</v>
      </c>
      <c r="I11" s="367" t="s">
        <v>430</v>
      </c>
      <c r="J11" s="367" t="s">
        <v>430</v>
      </c>
      <c r="K11" s="361">
        <v>30186.62</v>
      </c>
      <c r="L11" s="361">
        <v>40731.9</v>
      </c>
      <c r="M11" s="361">
        <v>21508.89</v>
      </c>
      <c r="N11" s="438">
        <v>77.72</v>
      </c>
      <c r="O11" s="438">
        <v>77.63</v>
      </c>
      <c r="P11" s="439" t="s">
        <v>1347</v>
      </c>
    </row>
    <row r="12" spans="1:69" s="324" customFormat="1" ht="9" customHeight="1">
      <c r="A12" s="322" t="s">
        <v>1406</v>
      </c>
      <c r="B12" s="325">
        <v>6.25</v>
      </c>
      <c r="C12" s="325" t="s">
        <v>430</v>
      </c>
      <c r="D12" s="325">
        <v>6.4</v>
      </c>
      <c r="E12" s="325" t="s">
        <v>430</v>
      </c>
      <c r="F12" s="325" t="s">
        <v>430</v>
      </c>
      <c r="G12" s="325" t="s">
        <v>430</v>
      </c>
      <c r="H12" s="325" t="s">
        <v>430</v>
      </c>
      <c r="I12" s="325" t="s">
        <v>430</v>
      </c>
      <c r="J12" s="325" t="s">
        <v>430</v>
      </c>
      <c r="K12" s="294">
        <v>31208.949999999997</v>
      </c>
      <c r="L12" s="294">
        <v>40579.300000000003</v>
      </c>
      <c r="M12" s="294">
        <v>25026.06</v>
      </c>
      <c r="N12" s="452">
        <v>77.674999999999997</v>
      </c>
      <c r="O12" s="452">
        <v>77.800399999999996</v>
      </c>
      <c r="P12" s="474" t="s">
        <v>1406</v>
      </c>
    </row>
    <row r="13" spans="1:69" s="324" customFormat="1" ht="9" customHeight="1">
      <c r="A13" s="399" t="s">
        <v>1560</v>
      </c>
      <c r="B13" s="367">
        <v>5.53</v>
      </c>
      <c r="C13" s="367" t="s">
        <v>430</v>
      </c>
      <c r="D13" s="367">
        <v>5.92</v>
      </c>
      <c r="E13" s="367" t="s">
        <v>430</v>
      </c>
      <c r="F13" s="367" t="s">
        <v>430</v>
      </c>
      <c r="G13" s="367" t="s">
        <v>430</v>
      </c>
      <c r="H13" s="367" t="s">
        <v>430</v>
      </c>
      <c r="I13" s="367" t="s">
        <v>430</v>
      </c>
      <c r="J13" s="367" t="s">
        <v>430</v>
      </c>
      <c r="K13" s="361">
        <v>34257.18</v>
      </c>
      <c r="L13" s="361">
        <v>40097.399999999994</v>
      </c>
      <c r="M13" s="361">
        <v>30355.56</v>
      </c>
      <c r="N13" s="438">
        <v>78.268600000000006</v>
      </c>
      <c r="O13" s="438">
        <v>78.400000000000006</v>
      </c>
      <c r="P13" s="439" t="s">
        <v>1560</v>
      </c>
    </row>
    <row r="14" spans="1:69" s="324" customFormat="1" ht="9" customHeight="1">
      <c r="A14" s="322" t="s">
        <v>1596</v>
      </c>
      <c r="B14" s="325">
        <v>5.94</v>
      </c>
      <c r="C14" s="325" t="s">
        <v>430</v>
      </c>
      <c r="D14" s="325">
        <v>5.44</v>
      </c>
      <c r="E14" s="325" t="s">
        <v>430</v>
      </c>
      <c r="F14" s="325" t="s">
        <v>430</v>
      </c>
      <c r="G14" s="325" t="s">
        <v>430</v>
      </c>
      <c r="H14" s="325" t="s">
        <v>430</v>
      </c>
      <c r="I14" s="325" t="s">
        <v>430</v>
      </c>
      <c r="J14" s="325" t="s">
        <v>430</v>
      </c>
      <c r="K14" s="294">
        <v>34655.899999999994</v>
      </c>
      <c r="L14" s="294">
        <v>43540.840000000004</v>
      </c>
      <c r="M14" s="294">
        <v>33679.379999999997</v>
      </c>
      <c r="N14" s="452">
        <v>79.132999999999996</v>
      </c>
      <c r="O14" s="452">
        <v>80.598799999999997</v>
      </c>
      <c r="P14" s="474" t="s">
        <v>1596</v>
      </c>
    </row>
    <row r="15" spans="1:69" s="324" customFormat="1" ht="9" customHeight="1">
      <c r="A15" s="449" t="s">
        <v>1756</v>
      </c>
      <c r="B15" s="417">
        <v>5.54</v>
      </c>
      <c r="C15" s="417" t="s">
        <v>430</v>
      </c>
      <c r="D15" s="417">
        <v>5.78</v>
      </c>
      <c r="E15" s="417" t="s">
        <v>430</v>
      </c>
      <c r="F15" s="417" t="s">
        <v>430</v>
      </c>
      <c r="G15" s="417" t="s">
        <v>430</v>
      </c>
      <c r="H15" s="417" t="s">
        <v>430</v>
      </c>
      <c r="I15" s="417" t="s">
        <v>430</v>
      </c>
      <c r="J15" s="417" t="s">
        <v>430</v>
      </c>
      <c r="K15" s="416">
        <v>36668.170000000006</v>
      </c>
      <c r="L15" s="416">
        <v>52939.600000000006</v>
      </c>
      <c r="M15" s="416">
        <v>32943.46</v>
      </c>
      <c r="N15" s="667">
        <v>82.107699999999994</v>
      </c>
      <c r="O15" s="667">
        <v>83.702200000000005</v>
      </c>
      <c r="P15" s="450" t="s">
        <v>1756</v>
      </c>
    </row>
    <row r="16" spans="1:69" s="324" customFormat="1" ht="9" customHeight="1">
      <c r="A16" s="451" t="s">
        <v>1904</v>
      </c>
      <c r="B16" s="427">
        <f>B28</f>
        <v>5.52</v>
      </c>
      <c r="C16" s="427" t="s">
        <v>430</v>
      </c>
      <c r="D16" s="427">
        <f>D28</f>
        <v>5.48</v>
      </c>
      <c r="E16" s="427" t="s">
        <v>430</v>
      </c>
      <c r="F16" s="427" t="s">
        <v>430</v>
      </c>
      <c r="G16" s="427" t="s">
        <v>430</v>
      </c>
      <c r="H16" s="427" t="s">
        <v>430</v>
      </c>
      <c r="I16" s="427" t="s">
        <v>430</v>
      </c>
      <c r="J16" s="427" t="s">
        <v>430</v>
      </c>
      <c r="K16" s="426">
        <f>SUM(K17:K28)</f>
        <v>40535.040000000008</v>
      </c>
      <c r="L16" s="426">
        <f>SUM(L17:L28)</f>
        <v>56060.799999999988</v>
      </c>
      <c r="M16" s="426">
        <f>M28</f>
        <v>32716.51</v>
      </c>
      <c r="N16" s="606">
        <v>84.020799999999994</v>
      </c>
      <c r="O16" s="606">
        <f>O28</f>
        <v>84.5</v>
      </c>
      <c r="P16" s="453" t="s">
        <v>1904</v>
      </c>
    </row>
    <row r="17" spans="1:18" s="324" customFormat="1" ht="9" customHeight="1">
      <c r="A17" s="399" t="s">
        <v>742</v>
      </c>
      <c r="B17" s="367">
        <v>5.51</v>
      </c>
      <c r="C17" s="367" t="s">
        <v>430</v>
      </c>
      <c r="D17" s="367">
        <v>5.78</v>
      </c>
      <c r="E17" s="367" t="s">
        <v>430</v>
      </c>
      <c r="F17" s="367" t="s">
        <v>430</v>
      </c>
      <c r="G17" s="367" t="s">
        <v>430</v>
      </c>
      <c r="H17" s="367" t="s">
        <v>430</v>
      </c>
      <c r="I17" s="367" t="s">
        <v>430</v>
      </c>
      <c r="J17" s="367" t="s">
        <v>430</v>
      </c>
      <c r="K17" s="365">
        <v>3581.48</v>
      </c>
      <c r="L17" s="361">
        <v>4569.7</v>
      </c>
      <c r="M17" s="361">
        <v>32105.45</v>
      </c>
      <c r="N17" s="438">
        <v>83.748400000000004</v>
      </c>
      <c r="O17" s="438">
        <v>83.75</v>
      </c>
      <c r="P17" s="439" t="s">
        <v>742</v>
      </c>
    </row>
    <row r="18" spans="1:18" s="324" customFormat="1" ht="9" customHeight="1">
      <c r="A18" s="322" t="s">
        <v>743</v>
      </c>
      <c r="B18" s="325">
        <v>5.48</v>
      </c>
      <c r="C18" s="325" t="s">
        <v>430</v>
      </c>
      <c r="D18" s="325">
        <v>5.74</v>
      </c>
      <c r="E18" s="325" t="s">
        <v>430</v>
      </c>
      <c r="F18" s="325" t="s">
        <v>430</v>
      </c>
      <c r="G18" s="325" t="s">
        <v>430</v>
      </c>
      <c r="H18" s="325" t="s">
        <v>430</v>
      </c>
      <c r="I18" s="325" t="s">
        <v>430</v>
      </c>
      <c r="J18" s="325" t="s">
        <v>430</v>
      </c>
      <c r="K18" s="69">
        <v>3213.54</v>
      </c>
      <c r="L18" s="294">
        <v>3964.61</v>
      </c>
      <c r="M18" s="294">
        <v>32926.51</v>
      </c>
      <c r="N18" s="452">
        <v>83.75</v>
      </c>
      <c r="O18" s="452">
        <v>83.75</v>
      </c>
      <c r="P18" s="474" t="s">
        <v>743</v>
      </c>
    </row>
    <row r="19" spans="1:18" s="324" customFormat="1" ht="9" customHeight="1">
      <c r="A19" s="399" t="s">
        <v>737</v>
      </c>
      <c r="B19" s="367">
        <v>5.43</v>
      </c>
      <c r="C19" s="367" t="s">
        <v>430</v>
      </c>
      <c r="D19" s="367">
        <v>5.68</v>
      </c>
      <c r="E19" s="367" t="s">
        <v>430</v>
      </c>
      <c r="F19" s="367" t="s">
        <v>430</v>
      </c>
      <c r="G19" s="367" t="s">
        <v>430</v>
      </c>
      <c r="H19" s="367" t="s">
        <v>430</v>
      </c>
      <c r="I19" s="367" t="s">
        <v>430</v>
      </c>
      <c r="J19" s="367" t="s">
        <v>430</v>
      </c>
      <c r="K19" s="361">
        <v>3145.58</v>
      </c>
      <c r="L19" s="361">
        <v>4751.4899999999989</v>
      </c>
      <c r="M19" s="361">
        <v>31957.74</v>
      </c>
      <c r="N19" s="438">
        <v>83.75</v>
      </c>
      <c r="O19" s="438">
        <v>83.75</v>
      </c>
      <c r="P19" s="439" t="s">
        <v>737</v>
      </c>
    </row>
    <row r="20" spans="1:18" s="324" customFormat="1" ht="9" customHeight="1">
      <c r="A20" s="322" t="s">
        <v>744</v>
      </c>
      <c r="B20" s="325">
        <v>5.4</v>
      </c>
      <c r="C20" s="325" t="s">
        <v>430</v>
      </c>
      <c r="D20" s="325">
        <v>5.63</v>
      </c>
      <c r="E20" s="325" t="s">
        <v>430</v>
      </c>
      <c r="F20" s="325" t="s">
        <v>430</v>
      </c>
      <c r="G20" s="325" t="s">
        <v>430</v>
      </c>
      <c r="H20" s="325" t="s">
        <v>430</v>
      </c>
      <c r="I20" s="325" t="s">
        <v>430</v>
      </c>
      <c r="J20" s="325" t="s">
        <v>430</v>
      </c>
      <c r="K20" s="294">
        <v>3711.18</v>
      </c>
      <c r="L20" s="294">
        <v>5086.3</v>
      </c>
      <c r="M20" s="294">
        <v>32077.96</v>
      </c>
      <c r="N20" s="452">
        <v>83.816999999999993</v>
      </c>
      <c r="O20" s="452">
        <v>83.85</v>
      </c>
      <c r="P20" s="474" t="s">
        <v>744</v>
      </c>
    </row>
    <row r="21" spans="1:18" s="324" customFormat="1" ht="9" customHeight="1">
      <c r="A21" s="399" t="s">
        <v>745</v>
      </c>
      <c r="B21" s="367">
        <v>5.37</v>
      </c>
      <c r="C21" s="367" t="s">
        <v>430</v>
      </c>
      <c r="D21" s="367">
        <v>5.58</v>
      </c>
      <c r="E21" s="367" t="s">
        <v>430</v>
      </c>
      <c r="F21" s="367" t="s">
        <v>430</v>
      </c>
      <c r="G21" s="367" t="s">
        <v>430</v>
      </c>
      <c r="H21" s="367" t="s">
        <v>430</v>
      </c>
      <c r="I21" s="367" t="s">
        <v>430</v>
      </c>
      <c r="J21" s="367" t="s">
        <v>430</v>
      </c>
      <c r="K21" s="361">
        <v>3421.98</v>
      </c>
      <c r="L21" s="361">
        <v>4460.8</v>
      </c>
      <c r="M21" s="361">
        <v>31056.04</v>
      </c>
      <c r="N21" s="438">
        <v>83.872500000000002</v>
      </c>
      <c r="O21" s="438">
        <v>83.9</v>
      </c>
      <c r="P21" s="439" t="s">
        <v>745</v>
      </c>
    </row>
    <row r="22" spans="1:18" s="324" customFormat="1" ht="9" customHeight="1">
      <c r="A22" s="322" t="s">
        <v>738</v>
      </c>
      <c r="B22" s="325">
        <v>5.35</v>
      </c>
      <c r="C22" s="325" t="s">
        <v>430</v>
      </c>
      <c r="D22" s="325">
        <v>5.5443199798807408</v>
      </c>
      <c r="E22" s="325" t="s">
        <v>430</v>
      </c>
      <c r="F22" s="325" t="s">
        <v>430</v>
      </c>
      <c r="G22" s="325" t="s">
        <v>430</v>
      </c>
      <c r="H22" s="325" t="s">
        <v>430</v>
      </c>
      <c r="I22" s="325" t="s">
        <v>430</v>
      </c>
      <c r="J22" s="325" t="s">
        <v>430</v>
      </c>
      <c r="K22" s="294">
        <v>3426.11</v>
      </c>
      <c r="L22" s="294">
        <v>4508.0999999999995</v>
      </c>
      <c r="M22" s="294">
        <v>32016.25</v>
      </c>
      <c r="N22" s="452">
        <v>83.9</v>
      </c>
      <c r="O22" s="452">
        <v>83.9</v>
      </c>
      <c r="P22" s="474" t="s">
        <v>738</v>
      </c>
    </row>
    <row r="23" spans="1:18" s="324" customFormat="1" ht="9" customHeight="1">
      <c r="A23" s="399" t="s">
        <v>746</v>
      </c>
      <c r="B23" s="367">
        <v>5.42</v>
      </c>
      <c r="C23" s="367" t="s">
        <v>430</v>
      </c>
      <c r="D23" s="367">
        <v>5.51</v>
      </c>
      <c r="E23" s="367" t="s">
        <v>430</v>
      </c>
      <c r="F23" s="367" t="s">
        <v>430</v>
      </c>
      <c r="G23" s="367" t="s">
        <v>430</v>
      </c>
      <c r="H23" s="367" t="s">
        <v>430</v>
      </c>
      <c r="I23" s="367" t="s">
        <v>430</v>
      </c>
      <c r="J23" s="367" t="s">
        <v>430</v>
      </c>
      <c r="K23" s="361">
        <v>3679.72</v>
      </c>
      <c r="L23" s="361">
        <v>5543.2</v>
      </c>
      <c r="M23" s="361">
        <v>31279.69</v>
      </c>
      <c r="N23" s="438">
        <v>83.941400000000002</v>
      </c>
      <c r="O23" s="438">
        <v>83.95</v>
      </c>
      <c r="P23" s="439" t="s">
        <v>746</v>
      </c>
    </row>
    <row r="24" spans="1:18" s="324" customFormat="1" ht="9" customHeight="1">
      <c r="A24" s="322" t="s">
        <v>747</v>
      </c>
      <c r="B24" s="325">
        <v>5.47</v>
      </c>
      <c r="C24" s="325" t="s">
        <v>430</v>
      </c>
      <c r="D24" s="325">
        <v>5.49</v>
      </c>
      <c r="E24" s="325" t="s">
        <v>430</v>
      </c>
      <c r="F24" s="325" t="s">
        <v>430</v>
      </c>
      <c r="G24" s="325" t="s">
        <v>430</v>
      </c>
      <c r="H24" s="325" t="s">
        <v>430</v>
      </c>
      <c r="I24" s="325" t="s">
        <v>430</v>
      </c>
      <c r="J24" s="325" t="s">
        <v>430</v>
      </c>
      <c r="K24" s="294">
        <v>3383.2</v>
      </c>
      <c r="L24" s="294">
        <v>4122.3</v>
      </c>
      <c r="M24" s="294">
        <v>32235.68</v>
      </c>
      <c r="N24" s="452">
        <v>84.031899999999993</v>
      </c>
      <c r="O24" s="452">
        <v>84.15</v>
      </c>
      <c r="P24" s="474" t="s">
        <v>747</v>
      </c>
    </row>
    <row r="25" spans="1:18" s="324" customFormat="1" ht="9" customHeight="1">
      <c r="A25" s="399" t="s">
        <v>739</v>
      </c>
      <c r="B25" s="367">
        <v>5.55</v>
      </c>
      <c r="C25" s="367" t="s">
        <v>430</v>
      </c>
      <c r="D25" s="367">
        <v>5.48</v>
      </c>
      <c r="E25" s="367" t="s">
        <v>430</v>
      </c>
      <c r="F25" s="367" t="s">
        <v>430</v>
      </c>
      <c r="G25" s="367" t="s">
        <v>430</v>
      </c>
      <c r="H25" s="367" t="s">
        <v>430</v>
      </c>
      <c r="I25" s="367" t="s">
        <v>430</v>
      </c>
      <c r="J25" s="367" t="s">
        <v>430</v>
      </c>
      <c r="K25" s="361">
        <v>3340.23</v>
      </c>
      <c r="L25" s="361">
        <v>4955.1000000000004</v>
      </c>
      <c r="M25" s="361">
        <v>31753.3</v>
      </c>
      <c r="N25" s="438">
        <v>84.206000000000003</v>
      </c>
      <c r="O25" s="438">
        <v>84.25</v>
      </c>
      <c r="P25" s="439" t="s">
        <v>739</v>
      </c>
    </row>
    <row r="26" spans="1:18" s="324" customFormat="1" ht="9" customHeight="1">
      <c r="A26" s="322" t="s">
        <v>748</v>
      </c>
      <c r="B26" s="325">
        <v>5.58</v>
      </c>
      <c r="C26" s="325" t="s">
        <v>430</v>
      </c>
      <c r="D26" s="325">
        <v>5.47</v>
      </c>
      <c r="E26" s="325" t="s">
        <v>430</v>
      </c>
      <c r="F26" s="325" t="s">
        <v>430</v>
      </c>
      <c r="G26" s="325" t="s">
        <v>430</v>
      </c>
      <c r="H26" s="325" t="s">
        <v>430</v>
      </c>
      <c r="I26" s="325" t="s">
        <v>430</v>
      </c>
      <c r="J26" s="325" t="s">
        <v>430</v>
      </c>
      <c r="K26" s="294">
        <v>3034.21</v>
      </c>
      <c r="L26" s="294">
        <v>5083.7999999999993</v>
      </c>
      <c r="M26" s="294">
        <v>32122.87</v>
      </c>
      <c r="N26" s="452">
        <v>84.328500000000005</v>
      </c>
      <c r="O26" s="452">
        <v>84.45</v>
      </c>
      <c r="P26" s="474" t="s">
        <v>748</v>
      </c>
    </row>
    <row r="27" spans="1:18" s="324" customFormat="1" ht="9" customHeight="1">
      <c r="A27" s="399" t="s">
        <v>749</v>
      </c>
      <c r="B27" s="367">
        <v>5.63</v>
      </c>
      <c r="C27" s="367" t="s">
        <v>430</v>
      </c>
      <c r="D27" s="367">
        <v>5.48</v>
      </c>
      <c r="E27" s="367" t="s">
        <v>430</v>
      </c>
      <c r="F27" s="367" t="s">
        <v>430</v>
      </c>
      <c r="G27" s="367" t="s">
        <v>430</v>
      </c>
      <c r="H27" s="367" t="s">
        <v>430</v>
      </c>
      <c r="I27" s="367" t="s">
        <v>430</v>
      </c>
      <c r="J27" s="367" t="s">
        <v>430</v>
      </c>
      <c r="K27" s="361">
        <v>3813.37</v>
      </c>
      <c r="L27" s="361">
        <v>4981.6999999999989</v>
      </c>
      <c r="M27" s="361">
        <v>31344.79</v>
      </c>
      <c r="N27" s="438">
        <v>84.492900000000006</v>
      </c>
      <c r="O27" s="438">
        <v>84.5</v>
      </c>
      <c r="P27" s="439" t="s">
        <v>749</v>
      </c>
    </row>
    <row r="28" spans="1:18" s="324" customFormat="1" ht="9" customHeight="1">
      <c r="A28" s="322" t="s">
        <v>740</v>
      </c>
      <c r="B28" s="325">
        <v>5.52</v>
      </c>
      <c r="C28" s="325" t="s">
        <v>430</v>
      </c>
      <c r="D28" s="325">
        <v>5.48</v>
      </c>
      <c r="E28" s="325" t="s">
        <v>430</v>
      </c>
      <c r="F28" s="325" t="s">
        <v>430</v>
      </c>
      <c r="G28" s="325" t="s">
        <v>430</v>
      </c>
      <c r="H28" s="325" t="s">
        <v>430</v>
      </c>
      <c r="I28" s="325" t="s">
        <v>430</v>
      </c>
      <c r="J28" s="325" t="s">
        <v>430</v>
      </c>
      <c r="K28" s="294">
        <v>2784.44</v>
      </c>
      <c r="L28" s="294">
        <v>4033.7</v>
      </c>
      <c r="M28" s="294">
        <v>32716.51</v>
      </c>
      <c r="N28" s="452">
        <v>84.5</v>
      </c>
      <c r="O28" s="452">
        <v>84.5</v>
      </c>
      <c r="P28" s="474" t="s">
        <v>740</v>
      </c>
    </row>
    <row r="29" spans="1:18" s="324" customFormat="1" ht="9" customHeight="1">
      <c r="A29" s="449" t="s">
        <v>2017</v>
      </c>
      <c r="B29" s="668">
        <f>B41</f>
        <v>6.02</v>
      </c>
      <c r="C29" s="417" t="s">
        <v>430</v>
      </c>
      <c r="D29" s="417">
        <f>D41</f>
        <v>5.6476114685594103</v>
      </c>
      <c r="E29" s="417" t="s">
        <v>430</v>
      </c>
      <c r="F29" s="417" t="s">
        <v>430</v>
      </c>
      <c r="G29" s="417" t="s">
        <v>430</v>
      </c>
      <c r="H29" s="417" t="s">
        <v>430</v>
      </c>
      <c r="I29" s="417" t="s">
        <v>430</v>
      </c>
      <c r="J29" s="417" t="s">
        <v>430</v>
      </c>
      <c r="K29" s="416">
        <f>SUM(K30:K41)</f>
        <v>33674.120000000003</v>
      </c>
      <c r="L29" s="416">
        <f>SUM(L30:L41)</f>
        <v>48517.849384999994</v>
      </c>
      <c r="M29" s="416">
        <f>M41</f>
        <v>36037.03</v>
      </c>
      <c r="N29" s="667">
        <v>84.781146000000007</v>
      </c>
      <c r="O29" s="667">
        <f>O41</f>
        <v>84.9</v>
      </c>
      <c r="P29" s="450" t="s">
        <v>2017</v>
      </c>
    </row>
    <row r="30" spans="1:18" s="324" customFormat="1" ht="9" customHeight="1">
      <c r="A30" s="322" t="s">
        <v>742</v>
      </c>
      <c r="B30" s="325">
        <v>5.62</v>
      </c>
      <c r="C30" s="325" t="s">
        <v>430</v>
      </c>
      <c r="D30" s="325">
        <v>5.48</v>
      </c>
      <c r="E30" s="325" t="s">
        <v>430</v>
      </c>
      <c r="F30" s="325" t="s">
        <v>430</v>
      </c>
      <c r="G30" s="325" t="s">
        <v>430</v>
      </c>
      <c r="H30" s="325" t="s">
        <v>430</v>
      </c>
      <c r="I30" s="325" t="s">
        <v>430</v>
      </c>
      <c r="J30" s="325" t="s">
        <v>430</v>
      </c>
      <c r="K30" s="294">
        <v>3887.86</v>
      </c>
      <c r="L30" s="294">
        <v>4532.5</v>
      </c>
      <c r="M30" s="294">
        <v>32093.25</v>
      </c>
      <c r="N30" s="452">
        <v>84.499600000000001</v>
      </c>
      <c r="O30" s="452">
        <v>84.5</v>
      </c>
      <c r="P30" s="474" t="s">
        <v>742</v>
      </c>
      <c r="Q30" s="325"/>
      <c r="R30" s="294"/>
    </row>
    <row r="31" spans="1:18" s="324" customFormat="1" ht="9" customHeight="1">
      <c r="A31" s="399" t="s">
        <v>743</v>
      </c>
      <c r="B31" s="367">
        <v>5.49</v>
      </c>
      <c r="C31" s="367" t="s">
        <v>430</v>
      </c>
      <c r="D31" s="367">
        <v>5.48</v>
      </c>
      <c r="E31" s="367" t="s">
        <v>430</v>
      </c>
      <c r="F31" s="367" t="s">
        <v>430</v>
      </c>
      <c r="G31" s="367" t="s">
        <v>430</v>
      </c>
      <c r="H31" s="367" t="s">
        <v>430</v>
      </c>
      <c r="I31" s="367" t="s">
        <v>430</v>
      </c>
      <c r="J31" s="367" t="s">
        <v>430</v>
      </c>
      <c r="K31" s="361">
        <v>2844.31</v>
      </c>
      <c r="L31" s="361">
        <v>3885.4</v>
      </c>
      <c r="M31" s="361">
        <v>32775.769999999997</v>
      </c>
      <c r="N31" s="438">
        <v>84.5</v>
      </c>
      <c r="O31" s="438">
        <v>84.5</v>
      </c>
      <c r="P31" s="439" t="s">
        <v>743</v>
      </c>
      <c r="Q31" s="325"/>
      <c r="R31" s="294"/>
    </row>
    <row r="32" spans="1:18" s="324" customFormat="1" ht="9" customHeight="1">
      <c r="A32" s="322" t="s">
        <v>737</v>
      </c>
      <c r="B32" s="325">
        <v>5.54</v>
      </c>
      <c r="C32" s="325" t="s">
        <v>430</v>
      </c>
      <c r="D32" s="325">
        <v>5.49</v>
      </c>
      <c r="E32" s="325" t="s">
        <v>430</v>
      </c>
      <c r="F32" s="325" t="s">
        <v>430</v>
      </c>
      <c r="G32" s="325" t="s">
        <v>430</v>
      </c>
      <c r="H32" s="325" t="s">
        <v>430</v>
      </c>
      <c r="I32" s="325" t="s">
        <v>430</v>
      </c>
      <c r="J32" s="325" t="s">
        <v>430</v>
      </c>
      <c r="K32" s="294">
        <v>2915.85</v>
      </c>
      <c r="L32" s="294">
        <v>4220.8999999999996</v>
      </c>
      <c r="M32" s="294">
        <v>31831.919999999998</v>
      </c>
      <c r="N32" s="452">
        <v>84.5</v>
      </c>
      <c r="O32" s="452">
        <v>84.5</v>
      </c>
      <c r="P32" s="474" t="s">
        <v>737</v>
      </c>
      <c r="Q32" s="325"/>
      <c r="R32" s="294"/>
    </row>
    <row r="33" spans="1:18" s="324" customFormat="1" ht="9" customHeight="1">
      <c r="A33" s="399" t="s">
        <v>744</v>
      </c>
      <c r="B33" s="367">
        <v>5.47</v>
      </c>
      <c r="C33" s="367" t="s">
        <v>430</v>
      </c>
      <c r="D33" s="367">
        <v>5.5</v>
      </c>
      <c r="E33" s="367" t="s">
        <v>430</v>
      </c>
      <c r="F33" s="367" t="s">
        <v>430</v>
      </c>
      <c r="G33" s="367" t="s">
        <v>430</v>
      </c>
      <c r="H33" s="367" t="s">
        <v>430</v>
      </c>
      <c r="I33" s="367" t="s">
        <v>430</v>
      </c>
      <c r="J33" s="367" t="s">
        <v>430</v>
      </c>
      <c r="K33" s="361">
        <v>3073.23</v>
      </c>
      <c r="L33" s="361">
        <v>5030.1000000000004</v>
      </c>
      <c r="M33" s="361">
        <v>32437.74</v>
      </c>
      <c r="N33" s="438">
        <v>84.673199999999994</v>
      </c>
      <c r="O33" s="438">
        <v>84.75</v>
      </c>
      <c r="P33" s="439" t="s">
        <v>744</v>
      </c>
      <c r="Q33" s="325"/>
      <c r="R33" s="294"/>
    </row>
    <row r="34" spans="1:18" s="324" customFormat="1" ht="9" customHeight="1">
      <c r="A34" s="322" t="s">
        <v>745</v>
      </c>
      <c r="B34" s="325">
        <v>6.05</v>
      </c>
      <c r="C34" s="325" t="s">
        <v>430</v>
      </c>
      <c r="D34" s="325">
        <v>5.557808386736518</v>
      </c>
      <c r="E34" s="325" t="s">
        <v>430</v>
      </c>
      <c r="F34" s="325" t="s">
        <v>430</v>
      </c>
      <c r="G34" s="325" t="s">
        <v>430</v>
      </c>
      <c r="H34" s="325" t="s">
        <v>430</v>
      </c>
      <c r="I34" s="325" t="s">
        <v>430</v>
      </c>
      <c r="J34" s="325" t="s">
        <v>430</v>
      </c>
      <c r="K34" s="294">
        <v>3055.85</v>
      </c>
      <c r="L34" s="294">
        <v>3986.6</v>
      </c>
      <c r="M34" s="294">
        <v>31728.99</v>
      </c>
      <c r="N34" s="452">
        <v>84.779200000000003</v>
      </c>
      <c r="O34" s="452">
        <v>84.9</v>
      </c>
      <c r="P34" s="474" t="s">
        <v>745</v>
      </c>
      <c r="Q34" s="325"/>
      <c r="R34" s="294"/>
    </row>
    <row r="35" spans="1:18" s="324" customFormat="1" ht="9" customHeight="1">
      <c r="A35" s="399" t="s">
        <v>738</v>
      </c>
      <c r="B35" s="367">
        <v>5.75</v>
      </c>
      <c r="C35" s="367" t="s">
        <v>430</v>
      </c>
      <c r="D35" s="367">
        <v>5.59</v>
      </c>
      <c r="E35" s="367" t="s">
        <v>430</v>
      </c>
      <c r="F35" s="367" t="s">
        <v>430</v>
      </c>
      <c r="G35" s="367" t="s">
        <v>430</v>
      </c>
      <c r="H35" s="367" t="s">
        <v>430</v>
      </c>
      <c r="I35" s="367" t="s">
        <v>430</v>
      </c>
      <c r="J35" s="367" t="s">
        <v>430</v>
      </c>
      <c r="K35" s="361">
        <v>3525.09</v>
      </c>
      <c r="L35" s="361">
        <v>4647</v>
      </c>
      <c r="M35" s="361">
        <v>32689.18</v>
      </c>
      <c r="N35" s="438">
        <v>84.899000000000001</v>
      </c>
      <c r="O35" s="438">
        <v>84.9</v>
      </c>
      <c r="P35" s="439" t="s">
        <v>738</v>
      </c>
      <c r="Q35" s="325"/>
      <c r="R35" s="294"/>
    </row>
    <row r="36" spans="1:18" s="324" customFormat="1" ht="9" customHeight="1">
      <c r="A36" s="322" t="s">
        <v>746</v>
      </c>
      <c r="B36" s="325">
        <v>5.57</v>
      </c>
      <c r="C36" s="325" t="s">
        <v>430</v>
      </c>
      <c r="D36" s="325">
        <v>5.6024614092748948</v>
      </c>
      <c r="E36" s="325" t="s">
        <v>430</v>
      </c>
      <c r="F36" s="325" t="s">
        <v>430</v>
      </c>
      <c r="G36" s="325" t="s">
        <v>430</v>
      </c>
      <c r="H36" s="325" t="s">
        <v>430</v>
      </c>
      <c r="I36" s="325" t="s">
        <v>430</v>
      </c>
      <c r="J36" s="325" t="s">
        <v>430</v>
      </c>
      <c r="K36" s="294">
        <v>3617.31</v>
      </c>
      <c r="L36" s="294">
        <v>4712.0093849999994</v>
      </c>
      <c r="M36" s="294">
        <v>32381.200000000001</v>
      </c>
      <c r="N36" s="452">
        <v>84.9</v>
      </c>
      <c r="O36" s="452">
        <v>84.9</v>
      </c>
      <c r="P36" s="474" t="s">
        <v>746</v>
      </c>
      <c r="Q36" s="325"/>
      <c r="R36" s="294"/>
    </row>
    <row r="37" spans="1:18" s="324" customFormat="1" ht="9" customHeight="1">
      <c r="A37" s="399" t="s">
        <v>747</v>
      </c>
      <c r="B37" s="367">
        <v>5.46</v>
      </c>
      <c r="C37" s="367" t="s">
        <v>430</v>
      </c>
      <c r="D37" s="367">
        <v>5.6024614092748948</v>
      </c>
      <c r="E37" s="367" t="s">
        <v>430</v>
      </c>
      <c r="F37" s="367" t="s">
        <v>430</v>
      </c>
      <c r="G37" s="367" t="s">
        <v>430</v>
      </c>
      <c r="H37" s="367" t="s">
        <v>430</v>
      </c>
      <c r="I37" s="367" t="s">
        <v>430</v>
      </c>
      <c r="J37" s="367" t="s">
        <v>430</v>
      </c>
      <c r="K37" s="361">
        <v>3322.36</v>
      </c>
      <c r="L37" s="361">
        <v>4419.2</v>
      </c>
      <c r="M37" s="361">
        <v>32986.51</v>
      </c>
      <c r="N37" s="438">
        <v>84.949700000000007</v>
      </c>
      <c r="O37" s="438">
        <v>84.95</v>
      </c>
      <c r="P37" s="439" t="s">
        <v>747</v>
      </c>
      <c r="Q37" s="325"/>
      <c r="R37" s="294"/>
    </row>
    <row r="38" spans="1:18" s="324" customFormat="1" ht="9" customHeight="1">
      <c r="A38" s="322" t="s">
        <v>739</v>
      </c>
      <c r="B38" s="325">
        <v>5.48</v>
      </c>
      <c r="C38" s="325" t="s">
        <v>430</v>
      </c>
      <c r="D38" s="325">
        <v>5.5961547252862065</v>
      </c>
      <c r="E38" s="325" t="s">
        <v>430</v>
      </c>
      <c r="F38" s="325" t="s">
        <v>430</v>
      </c>
      <c r="G38" s="325" t="s">
        <v>430</v>
      </c>
      <c r="H38" s="325" t="s">
        <v>430</v>
      </c>
      <c r="I38" s="325" t="s">
        <v>430</v>
      </c>
      <c r="J38" s="325" t="s">
        <v>430</v>
      </c>
      <c r="K38" s="294">
        <v>2732</v>
      </c>
      <c r="L38" s="294">
        <v>4121.2</v>
      </c>
      <c r="M38" s="294">
        <v>32570.16</v>
      </c>
      <c r="N38" s="452">
        <v>84.95</v>
      </c>
      <c r="O38" s="452">
        <v>84.95</v>
      </c>
      <c r="P38" s="474" t="s">
        <v>739</v>
      </c>
      <c r="Q38" s="325"/>
      <c r="R38" s="294"/>
    </row>
    <row r="39" spans="1:18" s="324" customFormat="1" ht="9" customHeight="1">
      <c r="A39" s="399" t="s">
        <v>748</v>
      </c>
      <c r="B39" s="367">
        <v>5.96</v>
      </c>
      <c r="C39" s="367" t="s">
        <v>430</v>
      </c>
      <c r="D39" s="367">
        <v>5.63</v>
      </c>
      <c r="E39" s="367" t="s">
        <v>430</v>
      </c>
      <c r="F39" s="367" t="s">
        <v>430</v>
      </c>
      <c r="G39" s="367" t="s">
        <v>430</v>
      </c>
      <c r="H39" s="367" t="s">
        <v>430</v>
      </c>
      <c r="I39" s="367" t="s">
        <v>430</v>
      </c>
      <c r="J39" s="367" t="s">
        <v>430</v>
      </c>
      <c r="K39" s="361">
        <v>520.01</v>
      </c>
      <c r="L39" s="361">
        <v>2489.8000000000002</v>
      </c>
      <c r="M39" s="361">
        <v>33111.06</v>
      </c>
      <c r="N39" s="438">
        <v>84.95</v>
      </c>
      <c r="O39" s="438">
        <v>84.95</v>
      </c>
      <c r="P39" s="439" t="s">
        <v>748</v>
      </c>
      <c r="Q39" s="325"/>
      <c r="R39" s="294"/>
    </row>
    <row r="40" spans="1:18" s="324" customFormat="1" ht="9" customHeight="1">
      <c r="A40" s="479" t="s">
        <v>749</v>
      </c>
      <c r="B40" s="325">
        <v>5.35</v>
      </c>
      <c r="C40" s="325" t="s">
        <v>430</v>
      </c>
      <c r="D40" s="325">
        <v>5.6058404553794849</v>
      </c>
      <c r="E40" s="325" t="s">
        <v>430</v>
      </c>
      <c r="F40" s="325" t="s">
        <v>430</v>
      </c>
      <c r="G40" s="325" t="s">
        <v>430</v>
      </c>
      <c r="H40" s="325" t="s">
        <v>430</v>
      </c>
      <c r="I40" s="325" t="s">
        <v>430</v>
      </c>
      <c r="J40" s="325" t="s">
        <v>430</v>
      </c>
      <c r="K40" s="546">
        <v>1465.3</v>
      </c>
      <c r="L40" s="294">
        <v>2532.15</v>
      </c>
      <c r="M40" s="294">
        <v>33409.89</v>
      </c>
      <c r="N40" s="452">
        <v>84.95</v>
      </c>
      <c r="O40" s="452">
        <v>84.95</v>
      </c>
      <c r="P40" s="474" t="s">
        <v>749</v>
      </c>
      <c r="Q40" s="325"/>
      <c r="R40" s="294"/>
    </row>
    <row r="41" spans="1:18" s="324" customFormat="1" ht="9" customHeight="1">
      <c r="A41" s="493" t="s">
        <v>740</v>
      </c>
      <c r="B41" s="367">
        <v>6.02</v>
      </c>
      <c r="C41" s="367" t="s">
        <v>430</v>
      </c>
      <c r="D41" s="367">
        <v>5.6476114685594103</v>
      </c>
      <c r="E41" s="367" t="s">
        <v>430</v>
      </c>
      <c r="F41" s="367" t="s">
        <v>430</v>
      </c>
      <c r="G41" s="367" t="s">
        <v>430</v>
      </c>
      <c r="H41" s="367" t="s">
        <v>430</v>
      </c>
      <c r="I41" s="367" t="s">
        <v>430</v>
      </c>
      <c r="J41" s="367" t="s">
        <v>430</v>
      </c>
      <c r="K41" s="567">
        <v>2714.95</v>
      </c>
      <c r="L41" s="361">
        <v>3940.9900000000002</v>
      </c>
      <c r="M41" s="361">
        <v>36037.03</v>
      </c>
      <c r="N41" s="438">
        <v>84.9191</v>
      </c>
      <c r="O41" s="438">
        <v>84.9</v>
      </c>
      <c r="P41" s="439" t="s">
        <v>740</v>
      </c>
      <c r="Q41" s="325"/>
      <c r="R41" s="294"/>
    </row>
    <row r="42" spans="1:18" s="324" customFormat="1" ht="10.5" customHeight="1">
      <c r="A42" s="128" t="s">
        <v>2140</v>
      </c>
      <c r="B42" s="605">
        <f>B54</f>
        <v>5.64</v>
      </c>
      <c r="C42" s="427" t="s">
        <v>430</v>
      </c>
      <c r="D42" s="427">
        <f>D54</f>
        <v>5.56</v>
      </c>
      <c r="E42" s="427" t="s">
        <v>430</v>
      </c>
      <c r="F42" s="427" t="s">
        <v>430</v>
      </c>
      <c r="G42" s="427" t="s">
        <v>430</v>
      </c>
      <c r="H42" s="427" t="s">
        <v>430</v>
      </c>
      <c r="I42" s="427" t="s">
        <v>430</v>
      </c>
      <c r="J42" s="427" t="s">
        <v>430</v>
      </c>
      <c r="K42" s="427">
        <f>SUM(K43:K54)</f>
        <v>38758.32</v>
      </c>
      <c r="L42" s="427" t="s">
        <v>430</v>
      </c>
      <c r="M42" s="426">
        <f>M54</f>
        <v>46391.44</v>
      </c>
      <c r="N42" s="606">
        <v>84.806299999999993</v>
      </c>
      <c r="O42" s="606">
        <f>O54</f>
        <v>84.814599999999999</v>
      </c>
      <c r="P42" s="1204" t="s">
        <v>2140</v>
      </c>
    </row>
    <row r="43" spans="1:18" s="324" customFormat="1" ht="9" customHeight="1">
      <c r="A43" s="493" t="s">
        <v>742</v>
      </c>
      <c r="B43" s="367">
        <v>5.53</v>
      </c>
      <c r="C43" s="367" t="s">
        <v>430</v>
      </c>
      <c r="D43" s="367">
        <v>5.64</v>
      </c>
      <c r="E43" s="367" t="s">
        <v>430</v>
      </c>
      <c r="F43" s="367" t="s">
        <v>430</v>
      </c>
      <c r="G43" s="367" t="s">
        <v>430</v>
      </c>
      <c r="H43" s="367" t="s">
        <v>430</v>
      </c>
      <c r="I43" s="367" t="s">
        <v>430</v>
      </c>
      <c r="J43" s="367" t="s">
        <v>430</v>
      </c>
      <c r="K43" s="567">
        <v>3910.92</v>
      </c>
      <c r="L43" s="361">
        <v>3395.9399999999996</v>
      </c>
      <c r="M43" s="361">
        <v>37288.43</v>
      </c>
      <c r="N43" s="438">
        <v>84.806200000000004</v>
      </c>
      <c r="O43" s="438">
        <v>84.8</v>
      </c>
      <c r="P43" s="439" t="s">
        <v>742</v>
      </c>
      <c r="Q43" s="325"/>
    </row>
    <row r="44" spans="1:18" s="324" customFormat="1" ht="9" customHeight="1">
      <c r="A44" s="479" t="s">
        <v>743</v>
      </c>
      <c r="B44" s="325">
        <v>5.68</v>
      </c>
      <c r="C44" s="325" t="s">
        <v>430</v>
      </c>
      <c r="D44" s="325">
        <v>5.6547200899186079</v>
      </c>
      <c r="E44" s="325" t="s">
        <v>430</v>
      </c>
      <c r="F44" s="325" t="s">
        <v>430</v>
      </c>
      <c r="G44" s="325" t="s">
        <v>430</v>
      </c>
      <c r="H44" s="325" t="s">
        <v>430</v>
      </c>
      <c r="I44" s="325" t="s">
        <v>430</v>
      </c>
      <c r="J44" s="325" t="s">
        <v>430</v>
      </c>
      <c r="K44" s="546">
        <v>2967.16</v>
      </c>
      <c r="L44" s="294">
        <v>3614.51</v>
      </c>
      <c r="M44" s="294">
        <v>39040.14</v>
      </c>
      <c r="N44" s="452">
        <v>84.833699999999993</v>
      </c>
      <c r="O44" s="452">
        <v>84.8292</v>
      </c>
      <c r="P44" s="474" t="s">
        <v>743</v>
      </c>
      <c r="Q44" s="325"/>
    </row>
    <row r="45" spans="1:18" s="324" customFormat="1" ht="9" customHeight="1">
      <c r="A45" s="493" t="s">
        <v>737</v>
      </c>
      <c r="B45" s="367">
        <v>5.97</v>
      </c>
      <c r="C45" s="367" t="s">
        <v>430</v>
      </c>
      <c r="D45" s="367">
        <v>5.6907183725365407</v>
      </c>
      <c r="E45" s="367" t="s">
        <v>430</v>
      </c>
      <c r="F45" s="367" t="s">
        <v>430</v>
      </c>
      <c r="G45" s="367" t="s">
        <v>430</v>
      </c>
      <c r="H45" s="367" t="s">
        <v>430</v>
      </c>
      <c r="I45" s="367" t="s">
        <v>430</v>
      </c>
      <c r="J45" s="367" t="s">
        <v>430</v>
      </c>
      <c r="K45" s="567">
        <v>3018.76</v>
      </c>
      <c r="L45" s="361">
        <v>3992.5000000000005</v>
      </c>
      <c r="M45" s="361">
        <v>39313.980000000003</v>
      </c>
      <c r="N45" s="438">
        <v>84.802000000000007</v>
      </c>
      <c r="O45" s="438">
        <v>84.835999999999999</v>
      </c>
      <c r="P45" s="439" t="s">
        <v>737</v>
      </c>
      <c r="Q45" s="325"/>
    </row>
    <row r="46" spans="1:18" s="324" customFormat="1" ht="9" customHeight="1">
      <c r="A46" s="479" t="s">
        <v>744</v>
      </c>
      <c r="B46" s="325">
        <v>6.44</v>
      </c>
      <c r="C46" s="325" t="s">
        <v>430</v>
      </c>
      <c r="D46" s="325">
        <v>5.7740564589879639</v>
      </c>
      <c r="E46" s="325" t="s">
        <v>430</v>
      </c>
      <c r="F46" s="1447" t="s">
        <v>430</v>
      </c>
      <c r="G46" s="325" t="s">
        <v>430</v>
      </c>
      <c r="H46" s="325" t="s">
        <v>430</v>
      </c>
      <c r="I46" s="325" t="s">
        <v>430</v>
      </c>
      <c r="J46" s="325" t="s">
        <v>430</v>
      </c>
      <c r="K46" s="546">
        <v>2947.8</v>
      </c>
      <c r="L46" s="294">
        <v>3772.1999999999994</v>
      </c>
      <c r="M46" s="294">
        <v>41005.79</v>
      </c>
      <c r="N46" s="452">
        <v>84.801699999999997</v>
      </c>
      <c r="O46" s="452">
        <v>84.800399999999996</v>
      </c>
      <c r="P46" s="474" t="s">
        <v>744</v>
      </c>
      <c r="Q46" s="325"/>
    </row>
    <row r="47" spans="1:18" s="324" customFormat="1" ht="9" customHeight="1">
      <c r="A47" s="493" t="s">
        <v>745</v>
      </c>
      <c r="B47" s="367">
        <v>5.52</v>
      </c>
      <c r="C47" s="367" t="s">
        <v>430</v>
      </c>
      <c r="D47" s="367">
        <v>5.7302638415250406</v>
      </c>
      <c r="E47" s="367" t="s">
        <v>430</v>
      </c>
      <c r="F47" s="367" t="s">
        <v>430</v>
      </c>
      <c r="G47" s="367" t="s">
        <v>430</v>
      </c>
      <c r="H47" s="367" t="s">
        <v>430</v>
      </c>
      <c r="I47" s="367" t="s">
        <v>430</v>
      </c>
      <c r="J47" s="367" t="s">
        <v>430</v>
      </c>
      <c r="K47" s="567">
        <v>3078.95</v>
      </c>
      <c r="L47" s="361">
        <v>4147.8</v>
      </c>
      <c r="M47" s="361">
        <v>41269.22</v>
      </c>
      <c r="N47" s="438">
        <v>84.800299999999993</v>
      </c>
      <c r="O47" s="438">
        <v>84.8</v>
      </c>
      <c r="P47" s="439" t="s">
        <v>745</v>
      </c>
      <c r="Q47" s="325"/>
    </row>
    <row r="48" spans="1:18" s="324" customFormat="1" ht="9" customHeight="1">
      <c r="A48" s="479" t="s">
        <v>738</v>
      </c>
      <c r="B48" s="325">
        <v>5.29</v>
      </c>
      <c r="C48" s="325" t="s">
        <v>430</v>
      </c>
      <c r="D48" s="325">
        <v>5.691074747462066</v>
      </c>
      <c r="E48" s="325" t="s">
        <v>430</v>
      </c>
      <c r="F48" s="325" t="s">
        <v>430</v>
      </c>
      <c r="G48" s="325" t="s">
        <v>430</v>
      </c>
      <c r="H48" s="325" t="s">
        <v>430</v>
      </c>
      <c r="I48" s="325" t="s">
        <v>430</v>
      </c>
      <c r="J48" s="325" t="s">
        <v>430</v>
      </c>
      <c r="K48" s="546">
        <v>3309.86</v>
      </c>
      <c r="L48" s="294">
        <v>4640.3999999999996</v>
      </c>
      <c r="M48" s="294">
        <v>43166.52</v>
      </c>
      <c r="N48" s="452">
        <v>84.8001</v>
      </c>
      <c r="O48" s="452">
        <v>84.801100000000005</v>
      </c>
      <c r="P48" s="474" t="s">
        <v>738</v>
      </c>
      <c r="Q48" s="325"/>
    </row>
    <row r="49" spans="1:17" s="324" customFormat="1" ht="9" customHeight="1">
      <c r="A49" s="493" t="s">
        <v>746</v>
      </c>
      <c r="B49" s="367">
        <v>5.0199999999999996</v>
      </c>
      <c r="C49" s="367" t="s">
        <v>430</v>
      </c>
      <c r="D49" s="367">
        <v>5.6430352022812658</v>
      </c>
      <c r="E49" s="367" t="s">
        <v>430</v>
      </c>
      <c r="F49" s="367" t="s">
        <v>430</v>
      </c>
      <c r="G49" s="367" t="s">
        <v>430</v>
      </c>
      <c r="H49" s="367" t="s">
        <v>430</v>
      </c>
      <c r="I49" s="367" t="s">
        <v>430</v>
      </c>
      <c r="J49" s="367" t="s">
        <v>430</v>
      </c>
      <c r="K49" s="567">
        <v>3436.79</v>
      </c>
      <c r="L49" s="361">
        <v>4569.2999999999993</v>
      </c>
      <c r="M49" s="361">
        <v>42862.96</v>
      </c>
      <c r="N49" s="438">
        <v>84.8005</v>
      </c>
      <c r="O49" s="438">
        <v>84.802999999999997</v>
      </c>
      <c r="P49" s="439" t="s">
        <v>746</v>
      </c>
      <c r="Q49" s="325"/>
    </row>
    <row r="50" spans="1:17" s="324" customFormat="1" ht="9" customHeight="1">
      <c r="A50" s="479" t="s">
        <v>747</v>
      </c>
      <c r="B50" s="325">
        <v>5.32</v>
      </c>
      <c r="C50" s="325" t="s">
        <v>430</v>
      </c>
      <c r="D50" s="325">
        <v>5.6304473421008305</v>
      </c>
      <c r="E50" s="325" t="s">
        <v>430</v>
      </c>
      <c r="F50" s="325" t="s">
        <v>430</v>
      </c>
      <c r="G50" s="325" t="s">
        <v>430</v>
      </c>
      <c r="H50" s="325" t="s">
        <v>430</v>
      </c>
      <c r="I50" s="325" t="s">
        <v>430</v>
      </c>
      <c r="J50" s="325" t="s">
        <v>430</v>
      </c>
      <c r="K50" s="546">
        <v>3192.08</v>
      </c>
      <c r="L50" s="294">
        <v>4697.2000000000007</v>
      </c>
      <c r="M50" s="294">
        <v>44016.54</v>
      </c>
      <c r="N50" s="452">
        <v>84.800299999999993</v>
      </c>
      <c r="O50" s="452">
        <v>84.800700000000006</v>
      </c>
      <c r="P50" s="474" t="s">
        <v>747</v>
      </c>
      <c r="Q50" s="325"/>
    </row>
    <row r="51" spans="1:17" s="324" customFormat="1" ht="9" customHeight="1">
      <c r="A51" s="493" t="s">
        <v>739</v>
      </c>
      <c r="B51" s="367">
        <v>5.47</v>
      </c>
      <c r="C51" s="367" t="s">
        <v>430</v>
      </c>
      <c r="D51" s="367">
        <v>5.6286025282636043</v>
      </c>
      <c r="E51" s="367" t="s">
        <v>430</v>
      </c>
      <c r="F51" s="367" t="s">
        <v>430</v>
      </c>
      <c r="G51" s="367" t="s">
        <v>430</v>
      </c>
      <c r="H51" s="367" t="s">
        <v>430</v>
      </c>
      <c r="I51" s="367" t="s">
        <v>430</v>
      </c>
      <c r="J51" s="367" t="s">
        <v>430</v>
      </c>
      <c r="K51" s="567">
        <v>3076.03</v>
      </c>
      <c r="L51" s="361">
        <v>5483.45</v>
      </c>
      <c r="M51" s="361">
        <v>43440.77</v>
      </c>
      <c r="N51" s="438">
        <v>84.800799999999995</v>
      </c>
      <c r="O51" s="438">
        <v>84.801900000000003</v>
      </c>
      <c r="P51" s="439" t="s">
        <v>739</v>
      </c>
      <c r="Q51" s="294"/>
    </row>
    <row r="52" spans="1:17" s="324" customFormat="1" ht="9" customHeight="1">
      <c r="A52" s="479" t="s">
        <v>748</v>
      </c>
      <c r="B52" s="325">
        <v>5.56</v>
      </c>
      <c r="C52" s="325" t="s">
        <v>430</v>
      </c>
      <c r="D52" s="325">
        <v>5.5962455762425423</v>
      </c>
      <c r="E52" s="325" t="s">
        <v>430</v>
      </c>
      <c r="F52" s="325" t="s">
        <v>430</v>
      </c>
      <c r="G52" s="325" t="s">
        <v>430</v>
      </c>
      <c r="H52" s="325" t="s">
        <v>430</v>
      </c>
      <c r="I52" s="325" t="s">
        <v>430</v>
      </c>
      <c r="J52" s="325" t="s">
        <v>430</v>
      </c>
      <c r="K52" s="546">
        <v>3134.38</v>
      </c>
      <c r="L52" s="294">
        <v>4960.9800000000005</v>
      </c>
      <c r="M52" s="294">
        <v>44950.42</v>
      </c>
      <c r="N52" s="452">
        <v>84.800600000000003</v>
      </c>
      <c r="O52" s="452">
        <v>84.8</v>
      </c>
      <c r="P52" s="474" t="s">
        <v>748</v>
      </c>
      <c r="Q52" s="294"/>
    </row>
    <row r="53" spans="1:17" s="324" customFormat="1" ht="9" customHeight="1">
      <c r="A53" s="493" t="s">
        <v>749</v>
      </c>
      <c r="B53" s="367">
        <v>5.26</v>
      </c>
      <c r="C53" s="367" t="s">
        <v>430</v>
      </c>
      <c r="D53" s="367">
        <v>5.5874241588527385</v>
      </c>
      <c r="E53" s="367" t="s">
        <v>430</v>
      </c>
      <c r="F53" s="367" t="s">
        <v>430</v>
      </c>
      <c r="G53" s="367" t="s">
        <v>430</v>
      </c>
      <c r="H53" s="367" t="s">
        <v>430</v>
      </c>
      <c r="I53" s="367" t="s">
        <v>430</v>
      </c>
      <c r="J53" s="367" t="s">
        <v>430</v>
      </c>
      <c r="K53" s="567">
        <v>3108.09</v>
      </c>
      <c r="L53" s="361">
        <v>4967.0999999999995</v>
      </c>
      <c r="M53" s="361">
        <v>44960.52</v>
      </c>
      <c r="N53" s="438">
        <v>84.800299999999993</v>
      </c>
      <c r="O53" s="438">
        <v>84.8</v>
      </c>
      <c r="P53" s="439" t="s">
        <v>749</v>
      </c>
      <c r="Q53" s="294"/>
    </row>
    <row r="54" spans="1:17" s="324" customFormat="1" ht="9" customHeight="1" thickBot="1">
      <c r="A54" s="1563" t="s">
        <v>740</v>
      </c>
      <c r="B54" s="955">
        <v>5.64</v>
      </c>
      <c r="C54" s="955" t="s">
        <v>430</v>
      </c>
      <c r="D54" s="955">
        <v>5.56</v>
      </c>
      <c r="E54" s="955" t="s">
        <v>430</v>
      </c>
      <c r="F54" s="955" t="s">
        <v>430</v>
      </c>
      <c r="G54" s="955" t="s">
        <v>430</v>
      </c>
      <c r="H54" s="955" t="s">
        <v>430</v>
      </c>
      <c r="I54" s="955" t="s">
        <v>430</v>
      </c>
      <c r="J54" s="955" t="s">
        <v>430</v>
      </c>
      <c r="K54" s="1564">
        <v>3577.5</v>
      </c>
      <c r="L54" s="835" t="s">
        <v>430</v>
      </c>
      <c r="M54" s="835">
        <v>46391.44</v>
      </c>
      <c r="N54" s="1565">
        <v>84.817099999999996</v>
      </c>
      <c r="O54" s="1565">
        <v>84.814599999999999</v>
      </c>
      <c r="P54" s="1566" t="s">
        <v>740</v>
      </c>
      <c r="Q54" s="294"/>
    </row>
    <row r="55" spans="1:17" s="260" customFormat="1" ht="11.1" customHeight="1">
      <c r="A55" s="322"/>
      <c r="B55" s="325"/>
      <c r="C55" s="325"/>
      <c r="D55" s="325"/>
      <c r="E55" s="325"/>
      <c r="F55" s="325"/>
      <c r="G55" s="325"/>
      <c r="H55" s="325"/>
      <c r="I55" s="325"/>
      <c r="J55" s="325"/>
      <c r="K55" s="294"/>
      <c r="L55" s="294"/>
      <c r="M55" s="1426"/>
      <c r="N55" s="294"/>
      <c r="O55" s="452"/>
      <c r="P55" s="474"/>
      <c r="Q55" s="189"/>
    </row>
    <row r="56" spans="1:17" s="47" customFormat="1" ht="9.9499999999999993" customHeight="1">
      <c r="A56" s="454" t="s">
        <v>1803</v>
      </c>
      <c r="B56" s="1779" t="s">
        <v>1727</v>
      </c>
      <c r="C56" s="1779"/>
      <c r="D56" s="1779"/>
      <c r="E56" s="1779"/>
      <c r="F56" s="1779"/>
      <c r="G56" s="189"/>
      <c r="H56" s="189"/>
      <c r="I56" s="189"/>
      <c r="J56" s="189"/>
      <c r="K56" s="455" t="s">
        <v>1805</v>
      </c>
      <c r="L56" s="1779" t="s">
        <v>2026</v>
      </c>
      <c r="M56" s="1779"/>
      <c r="N56" s="189"/>
      <c r="O56" s="189" t="s">
        <v>2633</v>
      </c>
      <c r="P56" s="281"/>
      <c r="Q56" s="59"/>
    </row>
    <row r="57" spans="1:17" s="47" customFormat="1" ht="9.9499999999999993" customHeight="1">
      <c r="B57" s="1810" t="s">
        <v>1726</v>
      </c>
      <c r="C57" s="1810"/>
      <c r="D57" s="1810"/>
      <c r="E57" s="1810"/>
      <c r="F57" s="1810"/>
      <c r="G57" s="1810"/>
      <c r="H57" s="1810"/>
      <c r="I57" s="1810"/>
      <c r="J57" s="59"/>
      <c r="K57" s="135"/>
      <c r="L57" s="1779" t="s">
        <v>1728</v>
      </c>
      <c r="M57" s="1779"/>
      <c r="N57" s="1779"/>
      <c r="O57" s="1779"/>
      <c r="P57" s="53"/>
      <c r="Q57" s="59"/>
    </row>
    <row r="58" spans="1:17" s="47" customFormat="1" ht="9.9499999999999993" customHeight="1">
      <c r="B58" s="839" t="s">
        <v>1725</v>
      </c>
      <c r="C58" s="839"/>
      <c r="D58" s="839"/>
      <c r="E58" s="839"/>
      <c r="F58" s="839"/>
      <c r="G58" s="839"/>
      <c r="H58" s="207"/>
      <c r="I58" s="207"/>
      <c r="J58" s="997"/>
      <c r="K58" s="1072"/>
      <c r="L58" s="1807" t="s">
        <v>1634</v>
      </c>
      <c r="M58" s="1807"/>
      <c r="N58" s="1807"/>
      <c r="O58" s="1807"/>
      <c r="P58" s="1807"/>
    </row>
    <row r="59" spans="1:17" s="47" customFormat="1" ht="9.9499999999999993" customHeight="1">
      <c r="B59" s="924" t="s">
        <v>1724</v>
      </c>
      <c r="C59" s="924"/>
      <c r="D59" s="924"/>
      <c r="E59" s="924"/>
      <c r="F59" s="924"/>
      <c r="G59" s="924"/>
      <c r="H59" s="924"/>
      <c r="I59" s="924"/>
      <c r="J59" s="207"/>
      <c r="K59" s="135"/>
      <c r="L59" s="1807" t="s">
        <v>1888</v>
      </c>
      <c r="M59" s="1807"/>
      <c r="N59" s="1807"/>
      <c r="O59" s="1807"/>
      <c r="P59" s="1479"/>
    </row>
    <row r="60" spans="1:17" s="47" customFormat="1" ht="9.9499999999999993" customHeight="1">
      <c r="B60" s="59" t="s">
        <v>1799</v>
      </c>
      <c r="C60" s="924"/>
      <c r="D60" s="924"/>
      <c r="E60" s="924"/>
      <c r="F60" s="924"/>
      <c r="G60" s="924"/>
      <c r="H60" s="924"/>
      <c r="I60" s="924"/>
      <c r="J60" s="1453"/>
      <c r="K60" s="135"/>
      <c r="L60" s="1779" t="s">
        <v>2594</v>
      </c>
      <c r="M60" s="1779"/>
      <c r="N60" s="1779"/>
      <c r="O60" s="1779"/>
      <c r="P60" s="59"/>
    </row>
    <row r="61" spans="1:17" s="47" customFormat="1" ht="9.9499999999999993" customHeight="1">
      <c r="A61" s="173" t="s">
        <v>1804</v>
      </c>
      <c r="B61" s="1807" t="s">
        <v>226</v>
      </c>
      <c r="C61" s="1807"/>
      <c r="D61" s="59"/>
      <c r="E61" s="47" t="s">
        <v>1753</v>
      </c>
      <c r="F61" s="59"/>
      <c r="H61" s="46"/>
      <c r="K61" s="208" t="s">
        <v>1806</v>
      </c>
      <c r="L61" s="54" t="s">
        <v>1729</v>
      </c>
      <c r="M61" s="54"/>
      <c r="N61" s="54"/>
      <c r="P61" s="189"/>
      <c r="Q61" s="59"/>
    </row>
    <row r="62" spans="1:17" s="47" customFormat="1" ht="9.9499999999999993" customHeight="1">
      <c r="D62" s="59"/>
      <c r="F62" s="59"/>
      <c r="K62" s="207" t="s">
        <v>227</v>
      </c>
      <c r="L62" s="1805" t="s">
        <v>2071</v>
      </c>
      <c r="M62" s="1805"/>
      <c r="N62" s="1805"/>
      <c r="O62" s="1805"/>
      <c r="Q62" s="59"/>
    </row>
    <row r="63" spans="1:17" s="47" customFormat="1" ht="12.75" customHeight="1">
      <c r="B63" s="8"/>
      <c r="H63" s="1443"/>
      <c r="K63" s="997"/>
      <c r="L63" s="536"/>
      <c r="O63" s="1412"/>
    </row>
    <row r="64" spans="1:17" ht="13.5" customHeight="1">
      <c r="A64" s="47"/>
      <c r="C64" s="47"/>
      <c r="D64" s="47"/>
      <c r="E64" s="47"/>
      <c r="F64" s="47"/>
      <c r="G64" s="47"/>
      <c r="H64" s="1443"/>
      <c r="I64" s="46"/>
      <c r="J64" s="47"/>
      <c r="K64" s="997"/>
      <c r="L64" s="1276"/>
      <c r="M64" s="47"/>
      <c r="N64" s="47"/>
      <c r="O64" s="47"/>
      <c r="P64" s="47"/>
    </row>
    <row r="65" spans="3:16" ht="12.75">
      <c r="C65" s="206"/>
      <c r="D65" s="9"/>
      <c r="E65" s="206"/>
      <c r="F65" s="9"/>
      <c r="G65" s="9"/>
      <c r="H65" s="1443"/>
      <c r="I65" s="9"/>
      <c r="J65" s="9"/>
      <c r="K65" s="997"/>
      <c r="L65" s="105"/>
      <c r="M65" s="1441"/>
      <c r="N65" s="186"/>
      <c r="O65" s="9"/>
      <c r="P65" s="9"/>
    </row>
    <row r="66" spans="3:16" ht="12.75">
      <c r="C66" s="206"/>
      <c r="D66" s="9"/>
      <c r="E66" s="206"/>
      <c r="F66" s="9"/>
      <c r="G66" s="9"/>
      <c r="H66" s="1443"/>
      <c r="I66" s="9"/>
      <c r="J66" s="9"/>
      <c r="K66" s="949"/>
      <c r="L66" s="950"/>
      <c r="M66" s="952"/>
      <c r="N66" s="186"/>
      <c r="O66" s="9"/>
      <c r="P66" s="9"/>
    </row>
    <row r="67" spans="3:16">
      <c r="C67" s="206"/>
      <c r="D67" s="9"/>
      <c r="E67" s="206"/>
      <c r="F67" s="9"/>
      <c r="G67" s="9"/>
      <c r="H67" s="1443"/>
      <c r="I67" s="9"/>
      <c r="J67" s="9"/>
      <c r="K67" s="206"/>
      <c r="L67" s="9"/>
      <c r="M67" s="1048"/>
      <c r="N67" s="186"/>
      <c r="O67" s="9"/>
      <c r="P67" s="9"/>
    </row>
    <row r="68" spans="3:16">
      <c r="C68" s="206"/>
      <c r="D68" s="9"/>
      <c r="E68" s="206"/>
      <c r="F68" s="9"/>
      <c r="G68" s="186"/>
      <c r="H68" s="1443"/>
      <c r="I68" s="186"/>
      <c r="J68" s="186"/>
      <c r="K68" s="998"/>
      <c r="L68" s="206"/>
      <c r="M68" s="206"/>
      <c r="N68" s="186"/>
      <c r="O68" s="186"/>
      <c r="P68" s="9"/>
    </row>
    <row r="69" spans="3:16">
      <c r="C69" s="206"/>
      <c r="D69" s="9"/>
      <c r="E69" s="206"/>
      <c r="F69" s="9"/>
      <c r="G69" s="9"/>
      <c r="H69" s="1443"/>
      <c r="I69" s="9"/>
      <c r="J69" s="280"/>
      <c r="K69" s="17"/>
      <c r="L69" s="206"/>
      <c r="M69" s="206"/>
      <c r="N69" s="186"/>
      <c r="O69" s="9"/>
      <c r="P69" s="9"/>
    </row>
    <row r="70" spans="3:16">
      <c r="C70" s="206"/>
      <c r="D70" s="9"/>
      <c r="E70" s="206"/>
      <c r="F70" s="9"/>
      <c r="G70" s="9"/>
      <c r="H70" s="1443"/>
      <c r="I70" s="9"/>
      <c r="J70" s="9"/>
      <c r="K70" s="31"/>
      <c r="L70" s="9"/>
      <c r="M70" s="9"/>
      <c r="N70" s="186"/>
      <c r="O70" s="9"/>
      <c r="P70" s="9"/>
    </row>
    <row r="71" spans="3:16">
      <c r="C71" s="206"/>
      <c r="D71" s="9"/>
      <c r="E71" s="206"/>
      <c r="F71" s="9"/>
      <c r="G71" s="9"/>
      <c r="H71" s="9"/>
      <c r="I71" s="9"/>
      <c r="J71" s="9"/>
      <c r="K71" s="31"/>
      <c r="L71" s="206"/>
      <c r="M71" s="9"/>
      <c r="N71" s="186"/>
      <c r="O71" s="9"/>
      <c r="P71" s="9"/>
    </row>
    <row r="72" spans="3:16">
      <c r="C72" s="206"/>
      <c r="D72" s="9"/>
      <c r="E72" s="206"/>
      <c r="F72" s="9"/>
      <c r="G72" s="9"/>
      <c r="H72" s="9"/>
      <c r="I72" s="9"/>
      <c r="J72" s="9"/>
      <c r="K72" s="186"/>
      <c r="L72" s="9"/>
      <c r="M72" s="9"/>
      <c r="N72" s="186"/>
      <c r="O72" s="9"/>
      <c r="P72" s="9"/>
    </row>
    <row r="73" spans="3:16">
      <c r="C73" s="9"/>
      <c r="D73" s="9"/>
      <c r="E73" s="9"/>
      <c r="F73" s="9"/>
      <c r="G73" s="9"/>
      <c r="H73" s="9"/>
      <c r="I73" s="9"/>
      <c r="J73" s="9"/>
      <c r="K73" s="31"/>
      <c r="L73" s="9"/>
      <c r="M73" s="9"/>
      <c r="N73" s="186"/>
      <c r="O73" s="9"/>
      <c r="P73" s="9"/>
    </row>
    <row r="74" spans="3:16">
      <c r="C74" s="9"/>
      <c r="D74" s="9"/>
      <c r="E74" s="9"/>
      <c r="F74" s="9"/>
      <c r="G74" s="9"/>
      <c r="H74" s="9"/>
      <c r="I74" s="9"/>
      <c r="J74" s="9"/>
      <c r="K74" s="31"/>
      <c r="L74" s="9"/>
      <c r="M74" s="9"/>
      <c r="N74" s="186"/>
      <c r="O74" s="9"/>
      <c r="P74" s="9"/>
    </row>
    <row r="75" spans="3:16">
      <c r="K75" s="30"/>
      <c r="N75" s="186"/>
    </row>
    <row r="76" spans="3:16">
      <c r="K76" s="31"/>
      <c r="N76" s="186"/>
    </row>
    <row r="77" spans="3:16">
      <c r="K77" s="31"/>
    </row>
    <row r="78" spans="3:16">
      <c r="K78" s="31"/>
    </row>
    <row r="79" spans="3:16">
      <c r="K79" s="31"/>
    </row>
  </sheetData>
  <mergeCells count="38">
    <mergeCell ref="L56:M56"/>
    <mergeCell ref="L62:O62"/>
    <mergeCell ref="F4:G4"/>
    <mergeCell ref="A1:F1"/>
    <mergeCell ref="H5:H6"/>
    <mergeCell ref="C5:C6"/>
    <mergeCell ref="L57:O57"/>
    <mergeCell ref="L58:P58"/>
    <mergeCell ref="L59:O59"/>
    <mergeCell ref="B5:B6"/>
    <mergeCell ref="D5:D6"/>
    <mergeCell ref="B56:F56"/>
    <mergeCell ref="B57:I57"/>
    <mergeCell ref="B61:C61"/>
    <mergeCell ref="O5:O6"/>
    <mergeCell ref="K3:M3"/>
    <mergeCell ref="P3:P7"/>
    <mergeCell ref="L5:L6"/>
    <mergeCell ref="M4:M6"/>
    <mergeCell ref="H4:J4"/>
    <mergeCell ref="K4:L4"/>
    <mergeCell ref="I5:I6"/>
    <mergeCell ref="L60:O60"/>
    <mergeCell ref="G1:J1"/>
    <mergeCell ref="E5:E6"/>
    <mergeCell ref="A3:A7"/>
    <mergeCell ref="N5:N6"/>
    <mergeCell ref="F5:F6"/>
    <mergeCell ref="J5:J6"/>
    <mergeCell ref="F2:J2"/>
    <mergeCell ref="O1:P1"/>
    <mergeCell ref="O2:P2"/>
    <mergeCell ref="F3:J3"/>
    <mergeCell ref="N4:O4"/>
    <mergeCell ref="G5:G6"/>
    <mergeCell ref="N3:O3"/>
    <mergeCell ref="K5:K6"/>
    <mergeCell ref="B3:E4"/>
  </mergeCells>
  <phoneticPr fontId="0" type="noConversion"/>
  <pageMargins left="0.43307086614173201" right="0.23622047244094499" top="0.511811023622047" bottom="0.511811023622047" header="0" footer="0.183070866"/>
  <pageSetup paperSize="448" firstPageNumber="10" orientation="portrait" useFirstPageNumber="1" r:id="rId1"/>
  <headerFooter alignWithMargins="0">
    <oddFooter>&amp;C&amp;"Times New Roman,Regular"&amp;8&amp;P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U39"/>
  <sheetViews>
    <sheetView topLeftCell="A16" zoomScale="140" zoomScaleNormal="140" workbookViewId="0">
      <selection activeCell="C5" sqref="C5"/>
    </sheetView>
  </sheetViews>
  <sheetFormatPr defaultRowHeight="12.75"/>
  <cols>
    <col min="1" max="1" width="4.28515625" customWidth="1"/>
    <col min="2" max="2" width="7.5703125" customWidth="1"/>
    <col min="7" max="7" width="9.42578125" customWidth="1"/>
    <col min="8" max="8" width="7.5703125" customWidth="1"/>
    <col min="9" max="9" width="10.5703125" customWidth="1"/>
  </cols>
  <sheetData>
    <row r="1" spans="1:21">
      <c r="A1" s="2292" t="s">
        <v>2052</v>
      </c>
      <c r="B1" s="2292"/>
      <c r="C1" s="2292"/>
      <c r="D1" s="2292"/>
      <c r="E1" s="2292"/>
      <c r="F1" s="2292"/>
      <c r="G1" s="2292"/>
      <c r="H1" s="986"/>
      <c r="I1" s="1322" t="s">
        <v>2051</v>
      </c>
    </row>
    <row r="2" spans="1:21" ht="15.75">
      <c r="A2" s="976"/>
      <c r="B2" s="976"/>
      <c r="C2" s="977"/>
      <c r="D2" s="977"/>
      <c r="E2" s="977"/>
      <c r="F2" s="977"/>
      <c r="G2" s="2294" t="s">
        <v>2081</v>
      </c>
      <c r="H2" s="2294"/>
      <c r="I2" s="2294"/>
    </row>
    <row r="3" spans="1:21" ht="45">
      <c r="A3" s="2296" t="s">
        <v>663</v>
      </c>
      <c r="B3" s="2297"/>
      <c r="C3" s="980" t="s">
        <v>1925</v>
      </c>
      <c r="D3" s="980" t="s">
        <v>1926</v>
      </c>
      <c r="E3" s="980" t="s">
        <v>1927</v>
      </c>
      <c r="F3" s="980" t="s">
        <v>1928</v>
      </c>
      <c r="G3" s="987" t="s">
        <v>1929</v>
      </c>
      <c r="H3" s="987" t="s">
        <v>1930</v>
      </c>
      <c r="I3" s="987" t="s">
        <v>1931</v>
      </c>
    </row>
    <row r="4" spans="1:21" ht="12.95" customHeight="1">
      <c r="A4" s="978" t="s">
        <v>2137</v>
      </c>
      <c r="B4" s="978"/>
      <c r="C4" s="979"/>
      <c r="D4" s="979"/>
      <c r="E4" s="979"/>
      <c r="F4" s="979"/>
      <c r="G4" s="2295"/>
      <c r="H4" s="2295"/>
      <c r="I4" s="979"/>
    </row>
    <row r="5" spans="1:21" ht="12.95" customHeight="1">
      <c r="A5" s="2293" t="s">
        <v>1576</v>
      </c>
      <c r="B5" s="981" t="s">
        <v>1932</v>
      </c>
      <c r="C5" s="984" t="s">
        <v>1935</v>
      </c>
      <c r="D5" s="984" t="s">
        <v>1935</v>
      </c>
      <c r="E5" s="984" t="s">
        <v>1935</v>
      </c>
      <c r="F5" s="984" t="s">
        <v>1935</v>
      </c>
      <c r="G5" s="988">
        <v>8608.8558109999994</v>
      </c>
      <c r="H5" s="988" t="s">
        <v>1935</v>
      </c>
      <c r="I5" s="988" t="s">
        <v>1935</v>
      </c>
      <c r="L5" s="795"/>
      <c r="N5" s="795"/>
      <c r="O5" s="795"/>
      <c r="P5" s="795"/>
      <c r="Q5" s="795"/>
      <c r="R5" s="795"/>
      <c r="S5" s="795"/>
      <c r="T5" s="795"/>
      <c r="U5" s="795"/>
    </row>
    <row r="6" spans="1:21" ht="12.95" customHeight="1">
      <c r="A6" s="2293"/>
      <c r="B6" s="982" t="s">
        <v>1933</v>
      </c>
      <c r="C6" s="983">
        <v>9417</v>
      </c>
      <c r="D6" s="983">
        <v>13257</v>
      </c>
      <c r="E6" s="983">
        <v>108555.17</v>
      </c>
      <c r="F6" s="983">
        <v>462.2</v>
      </c>
      <c r="G6" s="994">
        <v>31831.9</v>
      </c>
      <c r="H6" s="983">
        <v>5.49</v>
      </c>
      <c r="I6" s="983">
        <v>84.5</v>
      </c>
      <c r="L6" s="795"/>
      <c r="N6" s="795"/>
      <c r="O6" s="795"/>
      <c r="P6" s="795"/>
      <c r="Q6" s="795"/>
      <c r="R6" s="795"/>
      <c r="S6" s="795"/>
      <c r="T6" s="795"/>
      <c r="U6" s="795"/>
    </row>
    <row r="7" spans="1:21" ht="12.95" customHeight="1">
      <c r="A7" s="2293"/>
      <c r="B7" s="981" t="s">
        <v>1912</v>
      </c>
      <c r="C7" s="984">
        <v>237.48</v>
      </c>
      <c r="D7" s="984">
        <v>229.46</v>
      </c>
      <c r="E7" s="984">
        <v>1866.32</v>
      </c>
      <c r="F7" s="984">
        <v>-1.8</v>
      </c>
      <c r="G7" s="984">
        <v>1115</v>
      </c>
      <c r="H7" s="984">
        <v>2.94</v>
      </c>
      <c r="I7" s="984">
        <v>71.33</v>
      </c>
      <c r="L7" s="795"/>
      <c r="N7" s="795"/>
      <c r="O7" s="795"/>
      <c r="P7" s="795"/>
      <c r="Q7" s="795"/>
      <c r="R7" s="795"/>
      <c r="S7" s="795"/>
      <c r="T7" s="795"/>
      <c r="U7" s="795"/>
    </row>
    <row r="8" spans="1:21" ht="12.95" customHeight="1">
      <c r="A8" s="2293"/>
      <c r="B8" s="982" t="s">
        <v>1913</v>
      </c>
      <c r="C8" s="983">
        <v>78233.308214999997</v>
      </c>
      <c r="D8" s="983">
        <v>117977.55</v>
      </c>
      <c r="E8" s="983">
        <v>392570.28</v>
      </c>
      <c r="F8" s="983">
        <v>7314.46</v>
      </c>
      <c r="G8" s="983">
        <v>433707.15</v>
      </c>
      <c r="H8" s="983">
        <v>2.9039857266780502</v>
      </c>
      <c r="I8" s="983">
        <v>70.34</v>
      </c>
      <c r="L8" s="795"/>
      <c r="N8" s="795"/>
      <c r="O8" s="795"/>
      <c r="P8" s="795"/>
      <c r="Q8" s="795"/>
      <c r="R8" s="795"/>
      <c r="S8" s="795"/>
      <c r="T8" s="795"/>
      <c r="U8" s="795"/>
    </row>
    <row r="9" spans="1:21" ht="12.95" customHeight="1">
      <c r="A9" s="2293"/>
      <c r="B9" s="981" t="s">
        <v>1914</v>
      </c>
      <c r="C9" s="984">
        <v>62.24</v>
      </c>
      <c r="D9" s="984">
        <v>677.87</v>
      </c>
      <c r="E9" s="984">
        <v>206.04</v>
      </c>
      <c r="F9" s="984" t="s">
        <v>1935</v>
      </c>
      <c r="G9" s="984">
        <v>530.96</v>
      </c>
      <c r="H9" s="984">
        <v>-0.04</v>
      </c>
      <c r="I9" s="984">
        <v>15.34</v>
      </c>
      <c r="L9" s="795"/>
      <c r="N9" s="795"/>
      <c r="O9" s="795"/>
      <c r="P9" s="795"/>
      <c r="Q9" s="795"/>
      <c r="R9" s="795"/>
      <c r="S9" s="795"/>
      <c r="T9" s="795"/>
      <c r="U9" s="795"/>
    </row>
    <row r="10" spans="1:21" ht="12.95" customHeight="1">
      <c r="A10" s="2293"/>
      <c r="B10" s="982" t="s">
        <v>1915</v>
      </c>
      <c r="C10" s="983">
        <v>239.9</v>
      </c>
      <c r="D10" s="983">
        <v>2956.8</v>
      </c>
      <c r="E10" s="983">
        <v>4941.1000000000004</v>
      </c>
      <c r="F10" s="983" t="s">
        <v>1935</v>
      </c>
      <c r="G10" s="983">
        <v>8162.11</v>
      </c>
      <c r="H10" s="983" t="s">
        <v>1935</v>
      </c>
      <c r="I10" s="983">
        <v>114.26</v>
      </c>
      <c r="L10" s="795"/>
      <c r="N10" s="795"/>
      <c r="O10" s="795"/>
      <c r="P10" s="795"/>
      <c r="Q10" s="795"/>
      <c r="R10" s="795"/>
      <c r="S10" s="795"/>
      <c r="T10" s="795"/>
      <c r="U10" s="795"/>
    </row>
    <row r="11" spans="1:21" ht="12.95" customHeight="1">
      <c r="A11" s="2293"/>
      <c r="B11" s="981" t="s">
        <v>1916</v>
      </c>
      <c r="C11" s="984">
        <v>5509.75</v>
      </c>
      <c r="D11" s="984">
        <v>11199.19</v>
      </c>
      <c r="E11" s="984">
        <v>49698.82</v>
      </c>
      <c r="F11" s="984">
        <v>545.51</v>
      </c>
      <c r="G11" s="984">
        <v>7936.6</v>
      </c>
      <c r="H11" s="984">
        <v>7.81</v>
      </c>
      <c r="I11" s="984">
        <v>157.69</v>
      </c>
      <c r="L11" s="795"/>
      <c r="N11" s="795"/>
      <c r="O11" s="795"/>
      <c r="P11" s="795"/>
      <c r="Q11" s="795"/>
      <c r="R11" s="795"/>
      <c r="S11" s="795"/>
      <c r="T11" s="795"/>
      <c r="U11" s="795"/>
    </row>
    <row r="12" spans="1:21" ht="12.95" customHeight="1">
      <c r="A12" s="2293"/>
      <c r="B12" s="982" t="s">
        <v>1917</v>
      </c>
      <c r="C12" s="983">
        <v>2984.7942349999998</v>
      </c>
      <c r="D12" s="983">
        <v>5000.0600000000004</v>
      </c>
      <c r="E12" s="983" t="s">
        <v>1935</v>
      </c>
      <c r="F12" s="983">
        <v>-127.14</v>
      </c>
      <c r="G12" s="983">
        <v>7635.33</v>
      </c>
      <c r="H12" s="983">
        <v>3.9</v>
      </c>
      <c r="I12" s="983">
        <v>178.17</v>
      </c>
      <c r="L12" s="795"/>
      <c r="N12" s="795"/>
      <c r="O12" s="795"/>
      <c r="P12" s="795"/>
      <c r="Q12" s="795"/>
      <c r="R12" s="795"/>
      <c r="S12" s="795"/>
      <c r="T12" s="795"/>
      <c r="U12" s="795"/>
    </row>
    <row r="13" spans="1:21" ht="12.95" customHeight="1">
      <c r="A13" s="2293" t="s">
        <v>1719</v>
      </c>
      <c r="B13" s="981" t="s">
        <v>1932</v>
      </c>
      <c r="C13" s="984" t="s">
        <v>1935</v>
      </c>
      <c r="D13" s="984" t="s">
        <v>1935</v>
      </c>
      <c r="E13" s="984" t="s">
        <v>1935</v>
      </c>
      <c r="F13" s="984" t="s">
        <v>1935</v>
      </c>
      <c r="G13" s="984">
        <v>8560.0156939999997</v>
      </c>
      <c r="H13" s="984" t="s">
        <v>1935</v>
      </c>
      <c r="I13" s="984" t="s">
        <v>1935</v>
      </c>
      <c r="L13" s="795"/>
      <c r="N13" s="795"/>
      <c r="O13" s="795"/>
      <c r="P13" s="795"/>
      <c r="Q13" s="795"/>
      <c r="R13" s="795"/>
      <c r="S13" s="795"/>
      <c r="T13" s="795"/>
      <c r="U13" s="795"/>
    </row>
    <row r="14" spans="1:21" ht="12.95" customHeight="1">
      <c r="A14" s="2293"/>
      <c r="B14" s="982" t="s">
        <v>1933</v>
      </c>
      <c r="C14" s="983">
        <v>9427</v>
      </c>
      <c r="D14" s="983">
        <v>13809</v>
      </c>
      <c r="E14" s="983">
        <v>112954.849823</v>
      </c>
      <c r="F14" s="983">
        <v>720.09</v>
      </c>
      <c r="G14" s="994">
        <v>32689.200000000001</v>
      </c>
      <c r="H14" s="983">
        <v>5.59</v>
      </c>
      <c r="I14" s="983">
        <v>84.78</v>
      </c>
      <c r="L14" s="795"/>
      <c r="N14" s="795"/>
      <c r="O14" s="795"/>
      <c r="P14" s="795"/>
      <c r="Q14" s="795"/>
      <c r="R14" s="795"/>
      <c r="S14" s="795"/>
      <c r="T14" s="795"/>
      <c r="U14" s="795"/>
    </row>
    <row r="15" spans="1:21" ht="12.95" customHeight="1">
      <c r="A15" s="2293"/>
      <c r="B15" s="981" t="s">
        <v>1912</v>
      </c>
      <c r="C15" s="984">
        <v>170.23</v>
      </c>
      <c r="D15" s="984">
        <v>246.71</v>
      </c>
      <c r="E15" s="984">
        <v>1952.94</v>
      </c>
      <c r="F15" s="984">
        <v>-0.19</v>
      </c>
      <c r="G15" s="984">
        <v>1216.26</v>
      </c>
      <c r="H15" s="984">
        <v>2.73</v>
      </c>
      <c r="I15" s="984">
        <v>71.19</v>
      </c>
      <c r="L15" s="795"/>
      <c r="N15" s="795"/>
      <c r="O15" s="795"/>
      <c r="P15" s="795"/>
      <c r="Q15" s="795"/>
      <c r="R15" s="795"/>
      <c r="S15" s="795"/>
      <c r="T15" s="795"/>
      <c r="U15" s="795"/>
    </row>
    <row r="16" spans="1:21" ht="12.95" customHeight="1">
      <c r="A16" s="2293"/>
      <c r="B16" s="982" t="s">
        <v>1913</v>
      </c>
      <c r="C16" s="983">
        <v>79052.929999999993</v>
      </c>
      <c r="D16" s="983">
        <v>116103.730347</v>
      </c>
      <c r="E16" s="983">
        <v>392060.5</v>
      </c>
      <c r="F16" s="983">
        <v>9743.07</v>
      </c>
      <c r="G16" s="983">
        <v>459863.19</v>
      </c>
      <c r="H16" s="983">
        <v>3.71167496175141</v>
      </c>
      <c r="I16" s="983">
        <v>71.23</v>
      </c>
      <c r="L16" s="795"/>
      <c r="N16" s="795"/>
      <c r="O16" s="795"/>
      <c r="P16" s="795"/>
      <c r="Q16" s="795"/>
      <c r="R16" s="795"/>
      <c r="S16" s="795"/>
      <c r="T16" s="795"/>
      <c r="U16" s="795"/>
    </row>
    <row r="17" spans="1:21" ht="12.95" customHeight="1">
      <c r="A17" s="2293"/>
      <c r="B17" s="981" t="s">
        <v>1914</v>
      </c>
      <c r="C17" s="984">
        <v>93.41</v>
      </c>
      <c r="D17" s="984">
        <v>807.54</v>
      </c>
      <c r="E17" s="984">
        <v>201.44</v>
      </c>
      <c r="F17" s="984" t="s">
        <v>1935</v>
      </c>
      <c r="G17" s="984">
        <v>753.5</v>
      </c>
      <c r="H17" s="984">
        <v>0.22</v>
      </c>
      <c r="I17" s="984">
        <v>15.39</v>
      </c>
      <c r="L17" s="795"/>
      <c r="N17" s="795"/>
      <c r="O17" s="795"/>
      <c r="P17" s="795"/>
      <c r="Q17" s="795"/>
      <c r="R17" s="795"/>
      <c r="S17" s="795"/>
      <c r="T17" s="795"/>
      <c r="U17" s="795"/>
    </row>
    <row r="18" spans="1:21" ht="12.95" customHeight="1">
      <c r="A18" s="2293"/>
      <c r="B18" s="982" t="s">
        <v>1915</v>
      </c>
      <c r="C18" s="983">
        <v>263.99</v>
      </c>
      <c r="D18" s="983">
        <v>3153.99</v>
      </c>
      <c r="E18" s="983">
        <v>5144.1400000000003</v>
      </c>
      <c r="F18" s="983" t="s">
        <v>1935</v>
      </c>
      <c r="G18" s="983">
        <v>8374.2000000000007</v>
      </c>
      <c r="H18" s="983" t="s">
        <v>1935</v>
      </c>
      <c r="I18" s="983">
        <v>113</v>
      </c>
      <c r="L18" s="795"/>
      <c r="N18" s="795"/>
      <c r="O18" s="795"/>
      <c r="P18" s="795"/>
      <c r="Q18" s="795"/>
      <c r="R18" s="795"/>
      <c r="S18" s="795"/>
      <c r="T18" s="795"/>
      <c r="U18" s="795"/>
    </row>
    <row r="19" spans="1:21" ht="12.95" customHeight="1">
      <c r="A19" s="2293"/>
      <c r="B19" s="981" t="s">
        <v>1916</v>
      </c>
      <c r="C19" s="984">
        <v>6014</v>
      </c>
      <c r="D19" s="984">
        <v>12051.41</v>
      </c>
      <c r="E19" s="984">
        <v>51864.2</v>
      </c>
      <c r="F19" s="984">
        <v>811.9</v>
      </c>
      <c r="G19" s="984">
        <v>11336.1</v>
      </c>
      <c r="H19" s="984">
        <v>9.39</v>
      </c>
      <c r="I19" s="984">
        <v>155.41</v>
      </c>
      <c r="L19" s="795"/>
      <c r="N19" s="795"/>
      <c r="O19" s="795"/>
      <c r="P19" s="795"/>
      <c r="Q19" s="795"/>
      <c r="R19" s="795"/>
      <c r="S19" s="795"/>
      <c r="T19" s="795"/>
      <c r="U19" s="795"/>
    </row>
    <row r="20" spans="1:21" ht="12.95" customHeight="1">
      <c r="A20" s="2293"/>
      <c r="B20" s="982" t="s">
        <v>1917</v>
      </c>
      <c r="C20" s="983">
        <v>2956.01</v>
      </c>
      <c r="D20" s="983">
        <v>5341.01</v>
      </c>
      <c r="E20" s="983" t="s">
        <v>1935</v>
      </c>
      <c r="F20" s="983">
        <v>-215.77</v>
      </c>
      <c r="G20" s="983">
        <v>7642.39</v>
      </c>
      <c r="H20" s="983">
        <v>4.3</v>
      </c>
      <c r="I20" s="983">
        <v>181.06</v>
      </c>
      <c r="L20" s="795"/>
      <c r="N20" s="795"/>
      <c r="O20" s="795"/>
      <c r="P20" s="795"/>
      <c r="Q20" s="795"/>
      <c r="R20" s="795"/>
      <c r="S20" s="795"/>
      <c r="T20" s="795"/>
      <c r="U20" s="795"/>
    </row>
    <row r="21" spans="1:21" ht="12.95" customHeight="1">
      <c r="A21" s="2293" t="s">
        <v>1574</v>
      </c>
      <c r="B21" s="981" t="s">
        <v>1932</v>
      </c>
      <c r="C21" s="984" t="s">
        <v>1935</v>
      </c>
      <c r="D21" s="984" t="s">
        <v>1935</v>
      </c>
      <c r="E21" s="984" t="s">
        <v>1935</v>
      </c>
      <c r="F21" s="984" t="s">
        <v>1935</v>
      </c>
      <c r="G21" s="984">
        <v>8462.5813660000003</v>
      </c>
      <c r="H21" s="984" t="s">
        <v>1935</v>
      </c>
      <c r="I21" s="984" t="s">
        <v>1935</v>
      </c>
      <c r="L21" s="795"/>
      <c r="N21" s="795"/>
      <c r="O21" s="795"/>
      <c r="P21" s="795"/>
      <c r="Q21" s="795"/>
      <c r="R21" s="795"/>
      <c r="S21" s="795"/>
      <c r="T21" s="795"/>
      <c r="U21" s="795"/>
    </row>
    <row r="22" spans="1:21" ht="12.95" customHeight="1">
      <c r="A22" s="2293"/>
      <c r="B22" s="982" t="s">
        <v>1933</v>
      </c>
      <c r="C22" s="983">
        <v>9408</v>
      </c>
      <c r="D22" s="983">
        <v>13264</v>
      </c>
      <c r="E22" s="983">
        <v>114847.09181899999</v>
      </c>
      <c r="F22" s="983">
        <v>582.16999999999996</v>
      </c>
      <c r="G22" s="994">
        <v>32570.2</v>
      </c>
      <c r="H22" s="983">
        <v>5.6</v>
      </c>
      <c r="I22" s="983">
        <v>84.93</v>
      </c>
      <c r="L22" s="795"/>
      <c r="N22" s="795"/>
      <c r="O22" s="795"/>
      <c r="P22" s="795"/>
      <c r="Q22" s="795"/>
      <c r="R22" s="795"/>
      <c r="S22" s="795"/>
      <c r="T22" s="795"/>
      <c r="U22" s="795"/>
    </row>
    <row r="23" spans="1:21" ht="12.95" customHeight="1">
      <c r="A23" s="2293"/>
      <c r="B23" s="981" t="s">
        <v>1912</v>
      </c>
      <c r="C23" s="984">
        <v>118.09</v>
      </c>
      <c r="D23" s="984">
        <v>292.92</v>
      </c>
      <c r="E23" s="984">
        <v>1869.79</v>
      </c>
      <c r="F23" s="984">
        <v>-9.81</v>
      </c>
      <c r="G23" s="984">
        <v>1273.93</v>
      </c>
      <c r="H23" s="984">
        <v>3.26</v>
      </c>
      <c r="I23" s="984">
        <v>74.319999999999993</v>
      </c>
      <c r="L23" s="795"/>
      <c r="N23" s="795"/>
      <c r="O23" s="795"/>
      <c r="P23" s="795"/>
      <c r="Q23" s="795"/>
      <c r="R23" s="795"/>
      <c r="S23" s="795"/>
      <c r="T23" s="795"/>
      <c r="U23" s="795"/>
    </row>
    <row r="24" spans="1:21" ht="12.95" customHeight="1">
      <c r="A24" s="2293"/>
      <c r="B24" s="982" t="s">
        <v>1913</v>
      </c>
      <c r="C24" s="983">
        <v>75086.735606999995</v>
      </c>
      <c r="D24" s="983">
        <v>110524.885272</v>
      </c>
      <c r="E24" s="983">
        <v>385370.61</v>
      </c>
      <c r="F24" s="983">
        <v>11963.14</v>
      </c>
      <c r="G24" s="983">
        <v>477806.78</v>
      </c>
      <c r="H24" s="983">
        <v>4.7628697183474697</v>
      </c>
      <c r="I24" s="983">
        <v>72.361054098360597</v>
      </c>
      <c r="L24" s="795"/>
      <c r="N24" s="795"/>
      <c r="O24" s="795"/>
      <c r="P24" s="795"/>
      <c r="Q24" s="795"/>
      <c r="R24" s="795"/>
      <c r="S24" s="795"/>
      <c r="T24" s="795"/>
      <c r="U24" s="795"/>
    </row>
    <row r="25" spans="1:21" ht="12.95" customHeight="1">
      <c r="A25" s="2293"/>
      <c r="B25" s="981" t="s">
        <v>1914</v>
      </c>
      <c r="C25" s="984">
        <v>90.15</v>
      </c>
      <c r="D25" s="984">
        <v>668.46</v>
      </c>
      <c r="E25" s="984">
        <v>201.79</v>
      </c>
      <c r="F25" s="984" t="s">
        <v>1935</v>
      </c>
      <c r="G25" s="984">
        <v>741.63</v>
      </c>
      <c r="H25" s="984">
        <v>0.72</v>
      </c>
      <c r="I25" s="984">
        <v>15.33</v>
      </c>
      <c r="L25" s="795"/>
      <c r="N25" s="795"/>
      <c r="O25" s="795"/>
      <c r="P25" s="795"/>
      <c r="Q25" s="795"/>
      <c r="R25" s="795"/>
      <c r="S25" s="795"/>
      <c r="T25" s="795"/>
      <c r="U25" s="795"/>
    </row>
    <row r="26" spans="1:21" ht="12.95" customHeight="1">
      <c r="A26" s="2293"/>
      <c r="B26" s="982" t="s">
        <v>1915</v>
      </c>
      <c r="C26" s="983">
        <v>185.71</v>
      </c>
      <c r="D26" s="983">
        <v>2480.61</v>
      </c>
      <c r="E26" s="983">
        <v>5025.58</v>
      </c>
      <c r="F26" s="983" t="s">
        <v>1935</v>
      </c>
      <c r="G26" s="983">
        <v>8304.23</v>
      </c>
      <c r="H26" s="983" t="s">
        <v>1935</v>
      </c>
      <c r="I26" s="983">
        <v>118.44</v>
      </c>
      <c r="L26" s="795"/>
      <c r="N26" s="795"/>
      <c r="O26" s="795"/>
      <c r="P26" s="795"/>
      <c r="Q26" s="795"/>
      <c r="R26" s="795"/>
      <c r="S26" s="795"/>
      <c r="T26" s="795"/>
      <c r="U26" s="795"/>
    </row>
    <row r="27" spans="1:21" ht="12.95" customHeight="1">
      <c r="A27" s="2293"/>
      <c r="B27" s="981" t="s">
        <v>1916</v>
      </c>
      <c r="C27" s="984">
        <v>5918.89</v>
      </c>
      <c r="D27" s="984">
        <v>3878.93</v>
      </c>
      <c r="E27" s="984">
        <v>48455.42</v>
      </c>
      <c r="F27" s="984">
        <v>790.8</v>
      </c>
      <c r="G27" s="984">
        <v>10844.8</v>
      </c>
      <c r="H27" s="984">
        <v>10.73</v>
      </c>
      <c r="I27" s="984">
        <v>155.49</v>
      </c>
      <c r="L27" s="795"/>
      <c r="N27" s="795"/>
      <c r="O27" s="795"/>
      <c r="P27" s="795"/>
      <c r="Q27" s="795"/>
      <c r="R27" s="795"/>
      <c r="S27" s="795"/>
      <c r="T27" s="795"/>
      <c r="U27" s="795"/>
    </row>
    <row r="28" spans="1:21" ht="12.95" customHeight="1">
      <c r="A28" s="2293"/>
      <c r="B28" s="982" t="s">
        <v>1917</v>
      </c>
      <c r="C28" s="983">
        <v>2649.66</v>
      </c>
      <c r="D28" s="983">
        <v>4502.7</v>
      </c>
      <c r="E28" s="983" t="s">
        <v>1935</v>
      </c>
      <c r="F28" s="983" t="s">
        <v>1935</v>
      </c>
      <c r="G28" s="983">
        <v>7533.74</v>
      </c>
      <c r="H28" s="983">
        <v>4.7</v>
      </c>
      <c r="I28" s="983">
        <v>182.69</v>
      </c>
      <c r="L28" s="795"/>
      <c r="N28" s="795"/>
      <c r="O28" s="795"/>
      <c r="P28" s="795"/>
      <c r="Q28" s="795"/>
      <c r="R28" s="795"/>
      <c r="S28" s="795"/>
      <c r="T28" s="795"/>
      <c r="U28" s="795"/>
    </row>
    <row r="29" spans="1:21" ht="12.95" customHeight="1">
      <c r="A29" s="2293" t="s">
        <v>1575</v>
      </c>
      <c r="B29" s="981" t="s">
        <v>1932</v>
      </c>
      <c r="C29" s="984" t="s">
        <v>1935</v>
      </c>
      <c r="D29" s="984" t="s">
        <v>1935</v>
      </c>
      <c r="E29" s="984" t="s">
        <v>1935</v>
      </c>
      <c r="F29" s="984" t="s">
        <v>1935</v>
      </c>
      <c r="G29" s="984">
        <v>9172.0607899999995</v>
      </c>
      <c r="H29" s="984" t="s">
        <v>1935</v>
      </c>
      <c r="I29" s="984" t="s">
        <v>1935</v>
      </c>
      <c r="L29" s="795"/>
      <c r="N29" s="795"/>
      <c r="O29" s="795"/>
      <c r="P29" s="795"/>
      <c r="Q29" s="795"/>
      <c r="R29" s="795"/>
      <c r="S29" s="795"/>
      <c r="T29" s="795"/>
      <c r="U29" s="795"/>
    </row>
    <row r="30" spans="1:21" ht="12.95" customHeight="1">
      <c r="A30" s="2293"/>
      <c r="B30" s="982" t="s">
        <v>1933</v>
      </c>
      <c r="C30" s="983">
        <v>4578</v>
      </c>
      <c r="D30" s="983">
        <v>10361</v>
      </c>
      <c r="E30" s="983">
        <v>117826.4596</v>
      </c>
      <c r="F30" s="983">
        <v>605.99</v>
      </c>
      <c r="G30" s="994">
        <v>36037</v>
      </c>
      <c r="H30" s="983">
        <v>5.65</v>
      </c>
      <c r="I30" s="983">
        <v>84.94</v>
      </c>
      <c r="L30" s="795"/>
      <c r="N30" s="795"/>
      <c r="O30" s="795"/>
      <c r="P30" s="795"/>
      <c r="Q30" s="795"/>
      <c r="R30" s="795"/>
      <c r="S30" s="795"/>
      <c r="T30" s="795"/>
      <c r="U30" s="795"/>
    </row>
    <row r="31" spans="1:21" ht="12.95" customHeight="1">
      <c r="A31" s="2293"/>
      <c r="B31" s="981" t="s">
        <v>1912</v>
      </c>
      <c r="C31" s="984">
        <v>120.3</v>
      </c>
      <c r="D31" s="984">
        <v>183.64</v>
      </c>
      <c r="E31" s="984">
        <v>1915.88</v>
      </c>
      <c r="F31" s="984">
        <v>-0.64</v>
      </c>
      <c r="G31" s="984">
        <v>1340.31</v>
      </c>
      <c r="H31" s="984">
        <v>4.54</v>
      </c>
      <c r="I31" s="984">
        <v>60.47</v>
      </c>
      <c r="L31" s="795"/>
      <c r="N31" s="795"/>
      <c r="O31" s="795"/>
      <c r="P31" s="795"/>
      <c r="Q31" s="795"/>
      <c r="R31" s="795"/>
      <c r="S31" s="795"/>
      <c r="T31" s="795"/>
      <c r="U31" s="795"/>
    </row>
    <row r="32" spans="1:21" ht="12.95" customHeight="1">
      <c r="A32" s="2293"/>
      <c r="B32" s="982" t="s">
        <v>1913</v>
      </c>
      <c r="C32" s="983">
        <v>51325.093159999997</v>
      </c>
      <c r="D32" s="983">
        <v>61256.937247000002</v>
      </c>
      <c r="E32" s="983">
        <v>380686.37705721101</v>
      </c>
      <c r="F32" s="983">
        <v>-800.55498799999998</v>
      </c>
      <c r="G32" s="983">
        <v>505701.5</v>
      </c>
      <c r="H32" s="983">
        <v>5.6382217642288301</v>
      </c>
      <c r="I32" s="983">
        <v>75.86</v>
      </c>
      <c r="L32" s="795"/>
      <c r="N32" s="795"/>
      <c r="O32" s="795"/>
      <c r="P32" s="795"/>
      <c r="Q32" s="795"/>
      <c r="R32" s="795"/>
      <c r="S32" s="795"/>
      <c r="T32" s="795"/>
      <c r="U32" s="795"/>
    </row>
    <row r="33" spans="1:21" ht="12.95" customHeight="1">
      <c r="A33" s="2293"/>
      <c r="B33" s="981" t="s">
        <v>1914</v>
      </c>
      <c r="C33" s="984">
        <v>41.96</v>
      </c>
      <c r="D33" s="984">
        <v>351.23</v>
      </c>
      <c r="E33" s="984">
        <v>194.03</v>
      </c>
      <c r="F33" s="984" t="s">
        <v>1935</v>
      </c>
      <c r="G33" s="984">
        <v>702.53</v>
      </c>
      <c r="H33" s="984">
        <v>-0.62</v>
      </c>
      <c r="I33" s="984">
        <v>15.4</v>
      </c>
      <c r="L33" s="795"/>
      <c r="N33" s="795"/>
      <c r="O33" s="795"/>
      <c r="P33" s="795"/>
      <c r="Q33" s="795"/>
      <c r="R33" s="795"/>
      <c r="S33" s="795"/>
      <c r="T33" s="795"/>
      <c r="U33" s="795"/>
    </row>
    <row r="34" spans="1:21" ht="12.95" customHeight="1">
      <c r="A34" s="2293"/>
      <c r="B34" s="982" t="s">
        <v>1915</v>
      </c>
      <c r="C34" s="983">
        <v>156.08000000000001</v>
      </c>
      <c r="D34" s="983">
        <v>1769.89906</v>
      </c>
      <c r="E34" s="983">
        <v>4936.3100000000004</v>
      </c>
      <c r="F34" s="983" t="s">
        <v>1935</v>
      </c>
      <c r="G34" s="983">
        <v>9440.59</v>
      </c>
      <c r="H34" s="983" t="s">
        <v>1935</v>
      </c>
      <c r="I34" s="983">
        <v>121.05</v>
      </c>
      <c r="L34" s="795"/>
      <c r="N34" s="795"/>
      <c r="O34" s="795"/>
      <c r="P34" s="795"/>
      <c r="Q34" s="795"/>
      <c r="R34" s="795"/>
      <c r="S34" s="795"/>
      <c r="T34" s="795"/>
      <c r="U34" s="795"/>
    </row>
    <row r="35" spans="1:21" ht="12.95" customHeight="1">
      <c r="A35" s="2293"/>
      <c r="B35" s="981" t="s">
        <v>1916</v>
      </c>
      <c r="C35" s="984">
        <v>3950.41</v>
      </c>
      <c r="D35" s="984">
        <v>9762.2999999999993</v>
      </c>
      <c r="E35" s="984">
        <v>47864.31</v>
      </c>
      <c r="F35" s="984">
        <v>447.26</v>
      </c>
      <c r="G35" s="984">
        <v>12132</v>
      </c>
      <c r="H35" s="984">
        <v>10.739084</v>
      </c>
      <c r="I35" s="984">
        <v>163.20594399999999</v>
      </c>
      <c r="L35" s="795"/>
      <c r="N35" s="795"/>
      <c r="O35" s="795"/>
      <c r="P35" s="795"/>
      <c r="Q35" s="795"/>
      <c r="R35" s="795"/>
      <c r="S35" s="795"/>
      <c r="T35" s="795"/>
      <c r="U35" s="795"/>
    </row>
    <row r="36" spans="1:21" ht="12.95" customHeight="1">
      <c r="A36" s="2293"/>
      <c r="B36" s="982" t="s">
        <v>1917</v>
      </c>
      <c r="C36" s="983" t="s">
        <v>1935</v>
      </c>
      <c r="D36" s="983" t="s">
        <v>1935</v>
      </c>
      <c r="E36" s="983" t="s">
        <v>1935</v>
      </c>
      <c r="F36" s="983" t="s">
        <v>1935</v>
      </c>
      <c r="G36" s="983" t="s">
        <v>1935</v>
      </c>
      <c r="H36" s="983" t="s">
        <v>1935</v>
      </c>
      <c r="I36" s="983" t="s">
        <v>1935</v>
      </c>
      <c r="L36" s="795"/>
      <c r="N36" s="795"/>
      <c r="O36" s="795"/>
      <c r="P36" s="795"/>
      <c r="Q36" s="795"/>
      <c r="R36" s="795"/>
      <c r="S36" s="795"/>
      <c r="T36" s="795"/>
      <c r="U36" s="795"/>
    </row>
    <row r="38" spans="1:21" ht="15">
      <c r="A38" s="985" t="s">
        <v>16</v>
      </c>
      <c r="B38" s="985" t="s">
        <v>1636</v>
      </c>
      <c r="D38" s="329"/>
      <c r="E38" s="985" t="s">
        <v>1753</v>
      </c>
      <c r="F38" s="329"/>
      <c r="H38" s="934"/>
      <c r="J38" s="934"/>
    </row>
    <row r="39" spans="1:21">
      <c r="E39" s="985" t="s">
        <v>539</v>
      </c>
    </row>
  </sheetData>
  <mergeCells count="8">
    <mergeCell ref="A1:G1"/>
    <mergeCell ref="A29:A36"/>
    <mergeCell ref="G2:I2"/>
    <mergeCell ref="G4:H4"/>
    <mergeCell ref="A5:A12"/>
    <mergeCell ref="A13:A20"/>
    <mergeCell ref="A21:A28"/>
    <mergeCell ref="A3:B3"/>
  </mergeCells>
  <pageMargins left="0.7" right="0.7" top="0.75" bottom="0.75" header="0.3" footer="0.3"/>
  <pageSetup paperSize="448" firstPageNumber="109" orientation="portrait" useFirstPageNumber="1" r:id="rId1"/>
  <headerFooter alignWithMargins="0">
    <oddFooter>&amp;C&amp;"Times New Roman,Regular"&amp;8&amp;P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9"/>
  <dimension ref="B1:H39"/>
  <sheetViews>
    <sheetView topLeftCell="A22" workbookViewId="0">
      <selection activeCell="M45" sqref="M45"/>
    </sheetView>
  </sheetViews>
  <sheetFormatPr defaultRowHeight="12.75"/>
  <cols>
    <col min="1" max="1" width="5.140625" customWidth="1"/>
    <col min="2" max="2" width="11.85546875" customWidth="1"/>
    <col min="3" max="3" width="3.85546875" customWidth="1"/>
    <col min="4" max="4" width="15" customWidth="1"/>
    <col min="5" max="5" width="5.85546875" customWidth="1"/>
    <col min="6" max="6" width="10.42578125" customWidth="1"/>
    <col min="7" max="7" width="4" customWidth="1"/>
    <col min="8" max="8" width="19.5703125" customWidth="1"/>
  </cols>
  <sheetData>
    <row r="1" spans="2:8" ht="15.75">
      <c r="B1" s="2298" t="s">
        <v>487</v>
      </c>
      <c r="C1" s="2298"/>
      <c r="D1" s="2298"/>
      <c r="E1" s="2298"/>
      <c r="F1" s="2298"/>
      <c r="G1" s="2298"/>
      <c r="H1" s="2298"/>
    </row>
    <row r="2" spans="2:8" s="4" customFormat="1" ht="12">
      <c r="B2" s="2299" t="s">
        <v>1710</v>
      </c>
      <c r="C2" s="2299"/>
      <c r="D2" s="2299"/>
      <c r="E2" s="2299"/>
      <c r="F2" s="2299"/>
      <c r="G2" s="2299"/>
      <c r="H2" s="2299"/>
    </row>
    <row r="3" spans="2:8">
      <c r="B3" s="229"/>
      <c r="C3" s="229"/>
      <c r="D3" s="229"/>
      <c r="E3" s="229"/>
      <c r="F3" s="229"/>
      <c r="G3" s="229"/>
      <c r="H3" s="229"/>
    </row>
    <row r="4" spans="2:8">
      <c r="B4" s="230"/>
      <c r="C4" s="230"/>
      <c r="D4" s="230"/>
      <c r="E4" s="230"/>
      <c r="F4" s="230"/>
      <c r="G4" s="230"/>
      <c r="H4" s="230"/>
    </row>
    <row r="5" spans="2:8" ht="15" customHeight="1">
      <c r="B5" s="231" t="s">
        <v>560</v>
      </c>
      <c r="C5" s="232" t="s">
        <v>561</v>
      </c>
      <c r="D5" s="230" t="s">
        <v>562</v>
      </c>
      <c r="E5" s="230"/>
      <c r="F5" s="230" t="s">
        <v>563</v>
      </c>
      <c r="G5" s="230" t="s">
        <v>561</v>
      </c>
      <c r="H5" s="230" t="s">
        <v>564</v>
      </c>
    </row>
    <row r="6" spans="2:8" ht="15" customHeight="1">
      <c r="B6" s="230"/>
      <c r="C6" s="232" t="s">
        <v>561</v>
      </c>
      <c r="D6" s="232" t="s">
        <v>565</v>
      </c>
      <c r="E6" s="232"/>
      <c r="F6" s="232"/>
      <c r="G6" s="232" t="s">
        <v>561</v>
      </c>
      <c r="H6" s="232" t="s">
        <v>566</v>
      </c>
    </row>
    <row r="7" spans="2:8" ht="15" customHeight="1">
      <c r="B7" s="230"/>
      <c r="C7" s="230"/>
      <c r="D7" s="232"/>
      <c r="E7" s="232"/>
      <c r="F7" s="232"/>
      <c r="G7" s="232"/>
      <c r="H7" s="232"/>
    </row>
    <row r="8" spans="2:8" ht="15" customHeight="1">
      <c r="B8" s="232" t="s">
        <v>567</v>
      </c>
      <c r="C8" s="232" t="s">
        <v>561</v>
      </c>
      <c r="D8" s="232" t="s">
        <v>568</v>
      </c>
      <c r="E8" s="232"/>
      <c r="F8" s="232" t="s">
        <v>569</v>
      </c>
      <c r="G8" s="232" t="s">
        <v>561</v>
      </c>
      <c r="H8" s="232" t="s">
        <v>570</v>
      </c>
    </row>
    <row r="9" spans="2:8" ht="15" customHeight="1">
      <c r="B9" s="230"/>
      <c r="C9" s="232"/>
      <c r="D9" s="232"/>
      <c r="E9" s="232"/>
      <c r="F9" s="232"/>
      <c r="G9" s="232" t="s">
        <v>561</v>
      </c>
      <c r="H9" s="232" t="s">
        <v>572</v>
      </c>
    </row>
    <row r="10" spans="2:8" ht="15" customHeight="1">
      <c r="B10" s="230"/>
      <c r="C10" s="232"/>
      <c r="D10" s="232"/>
      <c r="E10" s="232"/>
      <c r="F10" s="232"/>
      <c r="G10" s="232"/>
      <c r="H10" s="232"/>
    </row>
    <row r="11" spans="2:8" ht="15" customHeight="1">
      <c r="B11" s="232" t="s">
        <v>573</v>
      </c>
      <c r="C11" s="232" t="s">
        <v>561</v>
      </c>
      <c r="D11" s="232" t="s">
        <v>574</v>
      </c>
      <c r="E11" s="232"/>
      <c r="F11" s="232" t="s">
        <v>575</v>
      </c>
      <c r="G11" s="232" t="s">
        <v>561</v>
      </c>
      <c r="H11" s="232" t="s">
        <v>576</v>
      </c>
    </row>
    <row r="12" spans="2:8" ht="15" customHeight="1">
      <c r="B12" s="232" t="s">
        <v>577</v>
      </c>
      <c r="C12" s="232" t="s">
        <v>561</v>
      </c>
      <c r="D12" s="232" t="s">
        <v>578</v>
      </c>
      <c r="E12" s="232"/>
      <c r="F12" s="232"/>
      <c r="G12" s="232" t="s">
        <v>561</v>
      </c>
      <c r="H12" s="232" t="s">
        <v>579</v>
      </c>
    </row>
    <row r="13" spans="2:8" ht="15" customHeight="1">
      <c r="B13" s="232"/>
      <c r="C13" s="232"/>
      <c r="D13" s="232"/>
      <c r="E13" s="232"/>
      <c r="F13" s="232"/>
      <c r="G13" s="232"/>
      <c r="H13" s="232"/>
    </row>
    <row r="14" spans="2:8" ht="15" customHeight="1">
      <c r="B14" s="232"/>
      <c r="C14" s="232"/>
      <c r="D14" s="232"/>
      <c r="E14" s="232"/>
      <c r="F14" s="232" t="s">
        <v>580</v>
      </c>
      <c r="G14" s="232" t="s">
        <v>561</v>
      </c>
      <c r="H14" s="232" t="s">
        <v>581</v>
      </c>
    </row>
    <row r="15" spans="2:8" ht="15" customHeight="1">
      <c r="B15" s="232" t="s">
        <v>582</v>
      </c>
      <c r="C15" s="232" t="s">
        <v>561</v>
      </c>
      <c r="D15" s="232" t="s">
        <v>583</v>
      </c>
      <c r="E15" s="232"/>
      <c r="F15" s="232"/>
      <c r="G15" s="232" t="s">
        <v>561</v>
      </c>
      <c r="H15" s="232" t="s">
        <v>584</v>
      </c>
    </row>
    <row r="16" spans="2:8" ht="15" customHeight="1">
      <c r="B16" s="232"/>
      <c r="C16" s="232" t="s">
        <v>561</v>
      </c>
      <c r="D16" s="232" t="s">
        <v>585</v>
      </c>
      <c r="E16" s="232"/>
      <c r="F16" s="232"/>
      <c r="G16" s="232"/>
      <c r="H16" s="232"/>
    </row>
    <row r="17" spans="2:8" ht="15" customHeight="1">
      <c r="B17" s="232"/>
      <c r="C17" s="232"/>
      <c r="E17" s="232"/>
      <c r="F17" s="232" t="s">
        <v>586</v>
      </c>
      <c r="G17" s="232" t="s">
        <v>561</v>
      </c>
      <c r="H17" s="232" t="s">
        <v>587</v>
      </c>
    </row>
    <row r="18" spans="2:8" ht="15" customHeight="1">
      <c r="B18" s="233" t="s">
        <v>588</v>
      </c>
      <c r="C18" s="232" t="s">
        <v>561</v>
      </c>
      <c r="D18" s="232" t="s">
        <v>591</v>
      </c>
      <c r="E18" s="232"/>
      <c r="F18" s="232" t="s">
        <v>589</v>
      </c>
      <c r="G18" s="232" t="s">
        <v>561</v>
      </c>
      <c r="H18" s="232" t="s">
        <v>590</v>
      </c>
    </row>
    <row r="19" spans="2:8" ht="15" customHeight="1">
      <c r="B19" s="2"/>
      <c r="C19" s="232" t="s">
        <v>561</v>
      </c>
      <c r="D19" s="233" t="s">
        <v>1580</v>
      </c>
      <c r="E19" s="232"/>
      <c r="F19" s="232" t="s">
        <v>656</v>
      </c>
      <c r="G19" s="232" t="s">
        <v>561</v>
      </c>
      <c r="H19" s="232" t="s">
        <v>592</v>
      </c>
    </row>
    <row r="20" spans="2:8" ht="15" customHeight="1">
      <c r="B20" s="232" t="s">
        <v>593</v>
      </c>
      <c r="C20" s="232" t="s">
        <v>561</v>
      </c>
      <c r="D20" s="232" t="s">
        <v>594</v>
      </c>
      <c r="E20" s="232"/>
      <c r="F20" s="232" t="s">
        <v>595</v>
      </c>
      <c r="G20" s="232" t="s">
        <v>561</v>
      </c>
      <c r="H20" s="232" t="s">
        <v>596</v>
      </c>
    </row>
    <row r="21" spans="2:8" ht="15" customHeight="1">
      <c r="B21" s="232"/>
      <c r="C21" s="232" t="s">
        <v>561</v>
      </c>
      <c r="D21" s="232" t="s">
        <v>597</v>
      </c>
      <c r="E21" s="232"/>
      <c r="F21" s="232" t="s">
        <v>598</v>
      </c>
      <c r="G21" s="232" t="s">
        <v>561</v>
      </c>
      <c r="H21" s="232" t="s">
        <v>599</v>
      </c>
    </row>
    <row r="22" spans="2:8" ht="15" customHeight="1">
      <c r="B22" s="232"/>
      <c r="C22" s="232" t="s">
        <v>561</v>
      </c>
      <c r="D22" s="232" t="s">
        <v>600</v>
      </c>
      <c r="E22" s="232"/>
      <c r="F22" s="232"/>
      <c r="G22" s="232" t="s">
        <v>561</v>
      </c>
      <c r="H22" s="232" t="s">
        <v>603</v>
      </c>
    </row>
    <row r="23" spans="2:8" ht="15" customHeight="1">
      <c r="B23" s="232"/>
      <c r="C23" s="232" t="s">
        <v>561</v>
      </c>
      <c r="D23" s="232" t="s">
        <v>604</v>
      </c>
      <c r="E23" s="232"/>
      <c r="F23" s="232"/>
      <c r="G23" s="232"/>
      <c r="H23" s="232"/>
    </row>
    <row r="24" spans="2:8" ht="15" customHeight="1">
      <c r="B24" s="232"/>
      <c r="C24" s="232"/>
      <c r="D24" s="232"/>
      <c r="E24" s="232"/>
      <c r="F24" s="232" t="s">
        <v>654</v>
      </c>
      <c r="G24" s="232" t="s">
        <v>561</v>
      </c>
      <c r="H24" s="232" t="s">
        <v>608</v>
      </c>
    </row>
    <row r="25" spans="2:8" ht="15" customHeight="1">
      <c r="B25" s="232" t="s">
        <v>609</v>
      </c>
      <c r="C25" s="232" t="s">
        <v>561</v>
      </c>
      <c r="D25" s="232" t="s">
        <v>610</v>
      </c>
      <c r="E25" s="232"/>
      <c r="F25" s="232"/>
      <c r="G25" s="232" t="s">
        <v>561</v>
      </c>
      <c r="H25" s="232" t="s">
        <v>611</v>
      </c>
    </row>
    <row r="26" spans="2:8" ht="15" customHeight="1">
      <c r="B26" s="232"/>
      <c r="C26" s="232" t="s">
        <v>561</v>
      </c>
      <c r="D26" s="232" t="s">
        <v>612</v>
      </c>
      <c r="E26" s="232"/>
      <c r="F26" s="232"/>
      <c r="G26" s="232" t="s">
        <v>561</v>
      </c>
      <c r="H26" s="232" t="s">
        <v>613</v>
      </c>
    </row>
    <row r="27" spans="2:8" ht="15" customHeight="1">
      <c r="B27" s="232"/>
      <c r="C27" s="234" t="s">
        <v>561</v>
      </c>
      <c r="D27" s="234" t="s">
        <v>614</v>
      </c>
      <c r="E27" s="232"/>
      <c r="F27" s="232"/>
      <c r="G27" s="232"/>
      <c r="H27" s="232"/>
    </row>
    <row r="28" spans="2:8" ht="15" customHeight="1">
      <c r="B28" s="232"/>
      <c r="C28" s="232"/>
      <c r="D28" s="232"/>
      <c r="E28" s="232"/>
      <c r="F28" s="232" t="s">
        <v>615</v>
      </c>
      <c r="G28" s="232" t="s">
        <v>561</v>
      </c>
      <c r="H28" s="232" t="s">
        <v>616</v>
      </c>
    </row>
    <row r="29" spans="2:8" ht="15" customHeight="1">
      <c r="B29" s="232" t="s">
        <v>617</v>
      </c>
      <c r="C29" s="232" t="s">
        <v>561</v>
      </c>
      <c r="D29" s="232" t="s">
        <v>618</v>
      </c>
      <c r="E29" s="232"/>
      <c r="F29" s="232" t="s">
        <v>619</v>
      </c>
      <c r="G29" s="232" t="s">
        <v>561</v>
      </c>
      <c r="H29" s="232" t="s">
        <v>620</v>
      </c>
    </row>
    <row r="30" spans="2:8" ht="15" customHeight="1">
      <c r="B30" s="232"/>
      <c r="C30" s="232" t="s">
        <v>561</v>
      </c>
      <c r="D30" s="232" t="s">
        <v>621</v>
      </c>
      <c r="E30" s="232"/>
      <c r="F30" s="232"/>
      <c r="G30" s="232" t="s">
        <v>561</v>
      </c>
      <c r="H30" s="232" t="s">
        <v>622</v>
      </c>
    </row>
    <row r="31" spans="2:8" ht="15" customHeight="1">
      <c r="B31" s="232"/>
      <c r="C31" s="232"/>
      <c r="D31" s="232"/>
      <c r="E31" s="232"/>
      <c r="F31" s="232"/>
      <c r="G31" s="232" t="s">
        <v>561</v>
      </c>
      <c r="H31" s="232" t="s">
        <v>655</v>
      </c>
    </row>
    <row r="32" spans="2:8" ht="15" customHeight="1">
      <c r="B32" s="232" t="s">
        <v>623</v>
      </c>
      <c r="C32" s="232" t="s">
        <v>561</v>
      </c>
      <c r="D32" s="232" t="s">
        <v>624</v>
      </c>
      <c r="E32" s="232"/>
      <c r="F32" s="232"/>
      <c r="G32" s="232" t="s">
        <v>561</v>
      </c>
      <c r="H32" s="232" t="s">
        <v>486</v>
      </c>
    </row>
    <row r="33" spans="2:8" ht="15" customHeight="1">
      <c r="B33" s="232"/>
      <c r="C33" s="232" t="s">
        <v>561</v>
      </c>
      <c r="D33" s="232" t="s">
        <v>625</v>
      </c>
      <c r="E33" s="232"/>
    </row>
    <row r="34" spans="2:8" ht="15" customHeight="1">
      <c r="B34" s="232"/>
      <c r="C34" s="232" t="s">
        <v>561</v>
      </c>
      <c r="D34" s="232" t="s">
        <v>628</v>
      </c>
      <c r="E34" s="232"/>
      <c r="F34" s="232" t="s">
        <v>626</v>
      </c>
      <c r="G34" s="232" t="s">
        <v>561</v>
      </c>
      <c r="H34" s="232" t="s">
        <v>627</v>
      </c>
    </row>
    <row r="35" spans="2:8" ht="15" customHeight="1">
      <c r="B35" s="232"/>
      <c r="C35" s="232"/>
      <c r="D35" s="232"/>
      <c r="E35" s="232"/>
      <c r="F35" s="232" t="s">
        <v>484</v>
      </c>
      <c r="G35" s="232" t="s">
        <v>561</v>
      </c>
      <c r="H35" s="232" t="s">
        <v>485</v>
      </c>
    </row>
    <row r="36" spans="2:8" ht="15" customHeight="1">
      <c r="B36" s="232" t="s">
        <v>629</v>
      </c>
      <c r="C36" s="232" t="s">
        <v>561</v>
      </c>
      <c r="D36" s="232" t="s">
        <v>630</v>
      </c>
      <c r="E36" s="232"/>
      <c r="F36" s="232" t="s">
        <v>975</v>
      </c>
      <c r="G36" s="232" t="s">
        <v>561</v>
      </c>
      <c r="H36" s="232" t="s">
        <v>483</v>
      </c>
    </row>
    <row r="37" spans="2:8" ht="15" customHeight="1" thickBot="1">
      <c r="B37" s="422"/>
      <c r="C37" s="422"/>
      <c r="D37" s="423"/>
      <c r="E37" s="423"/>
      <c r="F37" s="423"/>
      <c r="G37" s="423"/>
      <c r="H37" s="423"/>
    </row>
    <row r="38" spans="2:8" ht="15" customHeight="1">
      <c r="B38" s="2300" t="s">
        <v>1711</v>
      </c>
      <c r="C38" s="2300"/>
      <c r="D38" s="2300"/>
      <c r="E38" s="2300"/>
      <c r="F38" s="2300"/>
      <c r="G38" s="2300"/>
      <c r="H38" s="2300"/>
    </row>
    <row r="39" spans="2:8">
      <c r="B39" s="2"/>
      <c r="C39" s="2"/>
      <c r="D39" s="2"/>
      <c r="E39" s="2"/>
      <c r="F39" s="2"/>
      <c r="G39" s="2"/>
      <c r="H39" s="2"/>
    </row>
  </sheetData>
  <mergeCells count="3">
    <mergeCell ref="B1:H1"/>
    <mergeCell ref="B2:H2"/>
    <mergeCell ref="B38:H38"/>
  </mergeCells>
  <pageMargins left="0.70866141732283505" right="0.70866141732283505" top="0.74803149606299202" bottom="0.74803149606299202" header="0.31496062992126" footer="0.31496062992126"/>
  <pageSetup paperSize="448" firstPageNumber="111" orientation="portrait" useFirstPageNumber="1" r:id="rId1"/>
  <headerFooter>
    <oddFooter>&amp;C&amp;"Times New Roman,Regular"&amp;8&amp;P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R82"/>
  <sheetViews>
    <sheetView zoomScale="170" zoomScaleNormal="170" workbookViewId="0">
      <pane xSplit="1" ySplit="8" topLeftCell="B52" activePane="bottomRight" state="frozen"/>
      <selection activeCell="F85" sqref="F85"/>
      <selection pane="topRight" activeCell="F85" sqref="F85"/>
      <selection pane="bottomLeft" activeCell="F85" sqref="F85"/>
      <selection pane="bottomRight" activeCell="E1" sqref="E1"/>
    </sheetView>
  </sheetViews>
  <sheetFormatPr defaultColWidth="9.140625" defaultRowHeight="11.25"/>
  <cols>
    <col min="1" max="1" width="8.5703125" style="8" customWidth="1"/>
    <col min="2" max="2" width="9.5703125" style="8" customWidth="1"/>
    <col min="3" max="3" width="10.140625" style="8" customWidth="1"/>
    <col min="4" max="4" width="12" style="8" bestFit="1" customWidth="1"/>
    <col min="5" max="5" width="10.85546875" style="8" customWidth="1"/>
    <col min="6" max="6" width="10.28515625" style="8" customWidth="1"/>
    <col min="7" max="7" width="8" style="8" customWidth="1"/>
    <col min="8" max="8" width="9.140625" style="8"/>
    <col min="9" max="9" width="9.140625" style="8" customWidth="1"/>
    <col min="10" max="10" width="10" style="8" customWidth="1"/>
    <col min="11" max="11" width="10.28515625" style="8" customWidth="1"/>
    <col min="12" max="12" width="10.5703125" style="8" customWidth="1"/>
    <col min="13" max="13" width="9.28515625" style="8" customWidth="1"/>
    <col min="14" max="14" width="9.140625" style="8" customWidth="1"/>
    <col min="15" max="15" width="9.28515625" style="8" customWidth="1"/>
    <col min="16" max="16" width="9" style="8" customWidth="1"/>
    <col min="17" max="16384" width="9.140625" style="8"/>
  </cols>
  <sheetData>
    <row r="1" spans="1:16" s="42" customFormat="1" ht="15" customHeight="1">
      <c r="A1" s="1806"/>
      <c r="B1" s="1806"/>
      <c r="C1" s="1806"/>
      <c r="D1" s="51"/>
      <c r="G1" s="1786" t="s">
        <v>545</v>
      </c>
      <c r="H1" s="1786"/>
      <c r="I1" s="1841" t="s">
        <v>1782</v>
      </c>
      <c r="J1" s="1841"/>
      <c r="K1" s="43"/>
      <c r="L1" s="43"/>
      <c r="M1" s="43"/>
      <c r="N1" s="43"/>
      <c r="O1" s="1786" t="s">
        <v>229</v>
      </c>
      <c r="P1" s="1786"/>
    </row>
    <row r="2" spans="1:16" ht="12">
      <c r="A2" s="56"/>
      <c r="O2" s="1839" t="s">
        <v>25</v>
      </c>
      <c r="P2" s="1840"/>
    </row>
    <row r="3" spans="1:16" s="218" customFormat="1" ht="15" customHeight="1">
      <c r="A3" s="1822" t="s">
        <v>1189</v>
      </c>
      <c r="B3" s="1830" t="s">
        <v>664</v>
      </c>
      <c r="C3" s="1830"/>
      <c r="D3" s="1831"/>
      <c r="E3" s="1838" t="s">
        <v>465</v>
      </c>
      <c r="F3" s="1830"/>
      <c r="G3" s="1830"/>
      <c r="H3" s="1830"/>
      <c r="I3" s="1830" t="s">
        <v>752</v>
      </c>
      <c r="J3" s="1830"/>
      <c r="K3" s="1830"/>
      <c r="L3" s="833"/>
      <c r="M3" s="1813" t="s">
        <v>1192</v>
      </c>
      <c r="N3" s="1813" t="s">
        <v>1193</v>
      </c>
      <c r="O3" s="1828" t="s">
        <v>1783</v>
      </c>
      <c r="P3" s="1822" t="s">
        <v>1189</v>
      </c>
    </row>
    <row r="4" spans="1:16" s="218" customFormat="1" ht="15" customHeight="1">
      <c r="A4" s="1760"/>
      <c r="B4" s="1832" t="s">
        <v>150</v>
      </c>
      <c r="C4" s="1813" t="s">
        <v>151</v>
      </c>
      <c r="D4" s="1813" t="s">
        <v>1355</v>
      </c>
      <c r="E4" s="1825" t="s">
        <v>209</v>
      </c>
      <c r="F4" s="1826"/>
      <c r="G4" s="1826"/>
      <c r="H4" s="1826"/>
      <c r="I4" s="1826"/>
      <c r="J4" s="1827"/>
      <c r="K4" s="1823" t="s">
        <v>1191</v>
      </c>
      <c r="L4" s="1813" t="s">
        <v>782</v>
      </c>
      <c r="M4" s="1814"/>
      <c r="N4" s="1814"/>
      <c r="O4" s="1829"/>
      <c r="P4" s="1760"/>
    </row>
    <row r="5" spans="1:16" s="218" customFormat="1" ht="15" customHeight="1">
      <c r="A5" s="1760"/>
      <c r="B5" s="1833"/>
      <c r="C5" s="1814"/>
      <c r="D5" s="1814"/>
      <c r="E5" s="1818" t="s">
        <v>666</v>
      </c>
      <c r="F5" s="1819"/>
      <c r="G5" s="1820"/>
      <c r="H5" s="1834" t="s">
        <v>215</v>
      </c>
      <c r="I5" s="1835"/>
      <c r="J5" s="1832"/>
      <c r="K5" s="1824"/>
      <c r="L5" s="1814"/>
      <c r="M5" s="1814"/>
      <c r="N5" s="1814"/>
      <c r="O5" s="1829"/>
      <c r="P5" s="1760"/>
    </row>
    <row r="6" spans="1:16" s="218" customFormat="1" ht="15" customHeight="1">
      <c r="A6" s="1760"/>
      <c r="B6" s="1833"/>
      <c r="C6" s="1814"/>
      <c r="D6" s="1814"/>
      <c r="E6" s="1813" t="s">
        <v>150</v>
      </c>
      <c r="F6" s="1813" t="s">
        <v>151</v>
      </c>
      <c r="G6" s="1828" t="s">
        <v>1768</v>
      </c>
      <c r="H6" s="1783" t="s">
        <v>150</v>
      </c>
      <c r="I6" s="1783" t="s">
        <v>151</v>
      </c>
      <c r="J6" s="1836" t="s">
        <v>1190</v>
      </c>
      <c r="K6" s="1824"/>
      <c r="L6" s="1814"/>
      <c r="M6" s="1814"/>
      <c r="N6" s="1814"/>
      <c r="O6" s="1829"/>
      <c r="P6" s="1760"/>
    </row>
    <row r="7" spans="1:16" s="218" customFormat="1" ht="15" customHeight="1">
      <c r="A7" s="1760"/>
      <c r="B7" s="1833"/>
      <c r="C7" s="1814"/>
      <c r="D7" s="1814"/>
      <c r="E7" s="1814"/>
      <c r="F7" s="1814"/>
      <c r="G7" s="1829"/>
      <c r="H7" s="1766"/>
      <c r="I7" s="1766"/>
      <c r="J7" s="1837"/>
      <c r="K7" s="1824"/>
      <c r="L7" s="1817"/>
      <c r="M7" s="1814"/>
      <c r="N7" s="1814"/>
      <c r="O7" s="1829"/>
      <c r="P7" s="1760"/>
    </row>
    <row r="8" spans="1:16" s="12" customFormat="1" ht="15" customHeight="1">
      <c r="A8" s="1761"/>
      <c r="B8" s="57">
        <v>1</v>
      </c>
      <c r="C8" s="57">
        <v>2</v>
      </c>
      <c r="D8" s="57">
        <v>3</v>
      </c>
      <c r="E8" s="57">
        <v>4</v>
      </c>
      <c r="F8" s="57">
        <v>5</v>
      </c>
      <c r="G8" s="57">
        <v>6</v>
      </c>
      <c r="H8" s="57">
        <v>7</v>
      </c>
      <c r="I8" s="57">
        <v>8</v>
      </c>
      <c r="J8" s="57">
        <v>9</v>
      </c>
      <c r="K8" s="57">
        <v>10</v>
      </c>
      <c r="L8" s="57">
        <v>11</v>
      </c>
      <c r="M8" s="57">
        <v>12</v>
      </c>
      <c r="N8" s="57">
        <v>13</v>
      </c>
      <c r="O8" s="57">
        <v>14</v>
      </c>
      <c r="P8" s="1761"/>
    </row>
    <row r="9" spans="1:16" ht="11.1" customHeight="1">
      <c r="A9" s="380" t="s">
        <v>83</v>
      </c>
      <c r="B9" s="564">
        <v>61181</v>
      </c>
      <c r="C9" s="370">
        <v>5868.8</v>
      </c>
      <c r="D9" s="370">
        <f t="shared" ref="D9:D11" si="0">B9+C9</f>
        <v>67049.8</v>
      </c>
      <c r="E9" s="629">
        <v>21471.200000000001</v>
      </c>
      <c r="F9" s="629">
        <v>32781.699999999997</v>
      </c>
      <c r="G9" s="370">
        <f t="shared" ref="G9:G10" si="1">E9+F9</f>
        <v>54252.899999999994</v>
      </c>
      <c r="H9" s="370">
        <v>830.7</v>
      </c>
      <c r="I9" s="629">
        <v>11983.2</v>
      </c>
      <c r="J9" s="370">
        <f t="shared" ref="J9:J10" si="2">H9+I9</f>
        <v>12813.900000000001</v>
      </c>
      <c r="K9" s="366">
        <v>270760.8</v>
      </c>
      <c r="L9" s="361">
        <f t="shared" ref="L9:L10" si="3">G9+J9+K9</f>
        <v>337827.6</v>
      </c>
      <c r="M9" s="629">
        <v>-41846</v>
      </c>
      <c r="N9" s="361">
        <f t="shared" ref="N9" si="4">L9+M9</f>
        <v>295981.59999999998</v>
      </c>
      <c r="O9" s="366">
        <v>363031.2</v>
      </c>
      <c r="P9" s="381" t="s">
        <v>83</v>
      </c>
    </row>
    <row r="10" spans="1:16" s="213" customFormat="1" ht="11.1" customHeight="1">
      <c r="A10" s="624" t="s">
        <v>225</v>
      </c>
      <c r="B10" s="563">
        <v>61342.1</v>
      </c>
      <c r="C10" s="35">
        <v>9231.2999999999993</v>
      </c>
      <c r="D10" s="35">
        <f t="shared" si="0"/>
        <v>70573.399999999994</v>
      </c>
      <c r="E10" s="603">
        <v>31710.5</v>
      </c>
      <c r="F10" s="603">
        <v>41517.4</v>
      </c>
      <c r="G10" s="35">
        <f t="shared" si="1"/>
        <v>73227.899999999994</v>
      </c>
      <c r="H10" s="35">
        <v>776.7</v>
      </c>
      <c r="I10" s="603">
        <v>16175.7</v>
      </c>
      <c r="J10" s="35">
        <f t="shared" si="2"/>
        <v>16952.400000000001</v>
      </c>
      <c r="K10" s="324">
        <v>340712.7</v>
      </c>
      <c r="L10" s="294">
        <f t="shared" si="3"/>
        <v>430893</v>
      </c>
      <c r="M10" s="603">
        <v>-60946.400000000001</v>
      </c>
      <c r="N10" s="294">
        <v>369946.5</v>
      </c>
      <c r="O10" s="324">
        <v>440519.9</v>
      </c>
      <c r="P10" s="619" t="s">
        <v>225</v>
      </c>
    </row>
    <row r="11" spans="1:16" s="213" customFormat="1" ht="11.1" customHeight="1">
      <c r="A11" s="380" t="s">
        <v>972</v>
      </c>
      <c r="B11" s="564">
        <v>68930.100000000006</v>
      </c>
      <c r="C11" s="370">
        <v>9888.6</v>
      </c>
      <c r="D11" s="370">
        <f t="shared" si="0"/>
        <v>78818.700000000012</v>
      </c>
      <c r="E11" s="629">
        <v>37854.9</v>
      </c>
      <c r="F11" s="629">
        <v>53873.9</v>
      </c>
      <c r="G11" s="370">
        <v>91728.9</v>
      </c>
      <c r="H11" s="370">
        <v>1181.9000000000001</v>
      </c>
      <c r="I11" s="629">
        <v>14160.2</v>
      </c>
      <c r="J11" s="370">
        <v>15342.1</v>
      </c>
      <c r="K11" s="366">
        <v>407901.60000000003</v>
      </c>
      <c r="L11" s="361">
        <v>514972.60000000003</v>
      </c>
      <c r="M11" s="629">
        <v>-76681.7</v>
      </c>
      <c r="N11" s="361">
        <v>438290.80000000005</v>
      </c>
      <c r="O11" s="366">
        <v>517109.50000000006</v>
      </c>
      <c r="P11" s="381" t="s">
        <v>972</v>
      </c>
    </row>
    <row r="12" spans="1:16" s="213" customFormat="1" ht="11.1" customHeight="1">
      <c r="A12" s="624" t="s">
        <v>1107</v>
      </c>
      <c r="B12" s="563">
        <v>103246</v>
      </c>
      <c r="C12" s="35">
        <v>10004.200000000001</v>
      </c>
      <c r="D12" s="35">
        <v>113250.2</v>
      </c>
      <c r="E12" s="603">
        <v>27069</v>
      </c>
      <c r="F12" s="603">
        <v>83055.600000000006</v>
      </c>
      <c r="G12" s="35">
        <v>110124.6</v>
      </c>
      <c r="H12" s="35">
        <v>1354.5</v>
      </c>
      <c r="I12" s="603">
        <v>8100.8</v>
      </c>
      <c r="J12" s="35">
        <v>9455.2999999999993</v>
      </c>
      <c r="K12" s="324">
        <v>452157.2</v>
      </c>
      <c r="L12" s="294">
        <v>571737.1</v>
      </c>
      <c r="M12" s="603">
        <v>-81481.7</v>
      </c>
      <c r="N12" s="294">
        <f>L12+M12</f>
        <v>490255.39999999997</v>
      </c>
      <c r="O12" s="294">
        <f>D12+N12</f>
        <v>603505.6</v>
      </c>
      <c r="P12" s="619" t="s">
        <v>1107</v>
      </c>
    </row>
    <row r="13" spans="1:16" s="324" customFormat="1" ht="11.1" customHeight="1">
      <c r="A13" s="359" t="s">
        <v>1347</v>
      </c>
      <c r="B13" s="361">
        <v>147496.6</v>
      </c>
      <c r="C13" s="361">
        <v>12560</v>
      </c>
      <c r="D13" s="361">
        <v>160056.6</v>
      </c>
      <c r="E13" s="361">
        <v>3840.6</v>
      </c>
      <c r="F13" s="361">
        <v>113688.8</v>
      </c>
      <c r="G13" s="361">
        <v>117529.40000000001</v>
      </c>
      <c r="H13" s="361">
        <v>1202.7</v>
      </c>
      <c r="I13" s="361">
        <v>11534.2</v>
      </c>
      <c r="J13" s="361">
        <v>12736.900000000001</v>
      </c>
      <c r="K13" s="361">
        <v>507639.9</v>
      </c>
      <c r="L13" s="361">
        <v>637906.20000000007</v>
      </c>
      <c r="M13" s="361">
        <v>-97339.3</v>
      </c>
      <c r="N13" s="361">
        <v>540566.9</v>
      </c>
      <c r="O13" s="361">
        <v>700623.5</v>
      </c>
      <c r="P13" s="473" t="s">
        <v>1347</v>
      </c>
    </row>
    <row r="14" spans="1:16" s="324" customFormat="1" ht="11.1" customHeight="1">
      <c r="A14" s="292" t="s">
        <v>1406</v>
      </c>
      <c r="B14" s="569">
        <v>177401.3</v>
      </c>
      <c r="C14" s="569">
        <v>11827.5</v>
      </c>
      <c r="D14" s="568">
        <v>189228.79999999999</v>
      </c>
      <c r="E14" s="568">
        <v>810.5</v>
      </c>
      <c r="F14" s="568">
        <v>109446.8</v>
      </c>
      <c r="G14" s="568">
        <v>110257.3</v>
      </c>
      <c r="H14" s="568">
        <v>2160.8000000000002</v>
      </c>
      <c r="I14" s="568">
        <v>14509</v>
      </c>
      <c r="J14" s="568">
        <v>16669.8</v>
      </c>
      <c r="K14" s="568">
        <v>574599.4</v>
      </c>
      <c r="L14" s="568">
        <v>701526.5</v>
      </c>
      <c r="M14" s="568">
        <v>-103141.2</v>
      </c>
      <c r="N14" s="568">
        <v>598385.30000000005</v>
      </c>
      <c r="O14" s="568">
        <v>787614.10000000009</v>
      </c>
      <c r="P14" s="496" t="s">
        <v>1406</v>
      </c>
    </row>
    <row r="15" spans="1:16" s="121" customFormat="1" ht="11.1" customHeight="1">
      <c r="A15" s="399" t="s">
        <v>1560</v>
      </c>
      <c r="B15" s="361">
        <v>218904.1</v>
      </c>
      <c r="C15" s="361">
        <v>14231.5</v>
      </c>
      <c r="D15" s="361">
        <v>233135.6</v>
      </c>
      <c r="E15" s="361">
        <v>13373.7</v>
      </c>
      <c r="F15" s="361">
        <v>100845.9</v>
      </c>
      <c r="G15" s="361">
        <v>114219.59999999999</v>
      </c>
      <c r="H15" s="361">
        <v>2015.5</v>
      </c>
      <c r="I15" s="361">
        <v>14035.6</v>
      </c>
      <c r="J15" s="361">
        <v>16051.1</v>
      </c>
      <c r="K15" s="361">
        <v>671009.30000000005</v>
      </c>
      <c r="L15" s="361">
        <v>801280</v>
      </c>
      <c r="M15" s="361">
        <v>-118037.8</v>
      </c>
      <c r="N15" s="361">
        <v>683242.2</v>
      </c>
      <c r="O15" s="361">
        <v>916377.79999999993</v>
      </c>
      <c r="P15" s="439" t="s">
        <v>1560</v>
      </c>
    </row>
    <row r="16" spans="1:16" s="318" customFormat="1" ht="11.1" customHeight="1">
      <c r="A16" s="322" t="s">
        <v>1596</v>
      </c>
      <c r="B16" s="294">
        <v>252027</v>
      </c>
      <c r="C16" s="294">
        <v>14670</v>
      </c>
      <c r="D16" s="294">
        <v>266697</v>
      </c>
      <c r="E16" s="294">
        <v>12977.7</v>
      </c>
      <c r="F16" s="294">
        <v>84355.8</v>
      </c>
      <c r="G16" s="294">
        <v>97333.5</v>
      </c>
      <c r="H16" s="294">
        <v>2157.8000000000002</v>
      </c>
      <c r="I16" s="294">
        <v>15122.4</v>
      </c>
      <c r="J16" s="294">
        <v>17280.2</v>
      </c>
      <c r="K16" s="294">
        <v>776056.5</v>
      </c>
      <c r="L16" s="294">
        <v>890670.2</v>
      </c>
      <c r="M16" s="294">
        <v>-141291.1</v>
      </c>
      <c r="N16" s="294">
        <v>749379.1</v>
      </c>
      <c r="O16" s="294">
        <v>1016076.1</v>
      </c>
      <c r="P16" s="474" t="s">
        <v>1596</v>
      </c>
    </row>
    <row r="17" spans="1:16" s="318" customFormat="1" ht="11.1" customHeight="1">
      <c r="A17" s="449" t="s">
        <v>1756</v>
      </c>
      <c r="B17" s="416">
        <v>253509.8</v>
      </c>
      <c r="C17" s="416">
        <v>11164.6</v>
      </c>
      <c r="D17" s="416">
        <v>264674.39999999997</v>
      </c>
      <c r="E17" s="416">
        <v>22572.2</v>
      </c>
      <c r="F17" s="416">
        <v>72322.7</v>
      </c>
      <c r="G17" s="416">
        <v>94894.9</v>
      </c>
      <c r="H17" s="416">
        <v>2367.8000000000002</v>
      </c>
      <c r="I17" s="416">
        <v>16832.3</v>
      </c>
      <c r="J17" s="416">
        <v>19200.099999999999</v>
      </c>
      <c r="K17" s="416">
        <v>907531.6</v>
      </c>
      <c r="L17" s="416">
        <v>1021626.6</v>
      </c>
      <c r="M17" s="416">
        <v>-176320</v>
      </c>
      <c r="N17" s="416">
        <v>845306.6</v>
      </c>
      <c r="O17" s="416">
        <v>1109981</v>
      </c>
      <c r="P17" s="450" t="s">
        <v>1756</v>
      </c>
    </row>
    <row r="18" spans="1:16" s="333" customFormat="1" ht="11.1" customHeight="1">
      <c r="A18" s="243" t="s">
        <v>1904</v>
      </c>
      <c r="B18" s="426">
        <f>B30</f>
        <v>257195.4</v>
      </c>
      <c r="C18" s="426">
        <f t="shared" ref="C18:O18" si="5">C30</f>
        <v>15204.1</v>
      </c>
      <c r="D18" s="426">
        <f t="shared" si="5"/>
        <v>272399.5</v>
      </c>
      <c r="E18" s="426">
        <f t="shared" si="5"/>
        <v>31189</v>
      </c>
      <c r="F18" s="426">
        <f t="shared" si="5"/>
        <v>82084.399999999994</v>
      </c>
      <c r="G18" s="426">
        <f t="shared" si="5"/>
        <v>113273.4</v>
      </c>
      <c r="H18" s="426">
        <f t="shared" si="5"/>
        <v>2380.4</v>
      </c>
      <c r="I18" s="426">
        <f t="shared" si="5"/>
        <v>20975.200000000001</v>
      </c>
      <c r="J18" s="426">
        <f t="shared" si="5"/>
        <v>23355.600000000002</v>
      </c>
      <c r="K18" s="426">
        <f t="shared" si="5"/>
        <v>1010255.7</v>
      </c>
      <c r="L18" s="426">
        <f t="shared" si="5"/>
        <v>1146884.7</v>
      </c>
      <c r="M18" s="426">
        <f t="shared" si="5"/>
        <v>-199672.7</v>
      </c>
      <c r="N18" s="426">
        <f t="shared" si="5"/>
        <v>947212</v>
      </c>
      <c r="O18" s="426">
        <f t="shared" si="5"/>
        <v>1219611.5</v>
      </c>
      <c r="P18" s="577" t="s">
        <v>1904</v>
      </c>
    </row>
    <row r="19" spans="1:16" s="47" customFormat="1" ht="11.1" customHeight="1">
      <c r="A19" s="376" t="s">
        <v>742</v>
      </c>
      <c r="B19" s="361">
        <v>251973.1</v>
      </c>
      <c r="C19" s="361">
        <v>11327.6</v>
      </c>
      <c r="D19" s="361">
        <f t="shared" ref="D19:D55" si="6">B19+C19</f>
        <v>263300.7</v>
      </c>
      <c r="E19" s="361">
        <v>12131.7</v>
      </c>
      <c r="F19" s="361">
        <v>85050.8</v>
      </c>
      <c r="G19" s="361">
        <f t="shared" ref="G19:G55" si="7">E19+F19</f>
        <v>97182.5</v>
      </c>
      <c r="H19" s="361">
        <v>2356.5</v>
      </c>
      <c r="I19" s="361">
        <v>17127.7</v>
      </c>
      <c r="J19" s="361">
        <f t="shared" ref="J19:J55" si="8">H19+I19</f>
        <v>19484.2</v>
      </c>
      <c r="K19" s="361">
        <f>5096.9+896368.7</f>
        <v>901465.59999999998</v>
      </c>
      <c r="L19" s="361">
        <f t="shared" ref="L19:L55" si="9">G19+J19+K19</f>
        <v>1018132.2999999999</v>
      </c>
      <c r="M19" s="361">
        <v>-175272.3</v>
      </c>
      <c r="N19" s="361">
        <f t="shared" ref="N19:N30" si="10">L19+M19</f>
        <v>842860</v>
      </c>
      <c r="O19" s="361">
        <f t="shared" ref="O19:O30" si="11">D19+N19</f>
        <v>1106160.7</v>
      </c>
      <c r="P19" s="377" t="s">
        <v>742</v>
      </c>
    </row>
    <row r="20" spans="1:16" s="213" customFormat="1" ht="11.1" customHeight="1">
      <c r="A20" s="211" t="s">
        <v>743</v>
      </c>
      <c r="B20" s="294">
        <v>254675.20000000001</v>
      </c>
      <c r="C20" s="294">
        <v>12613.9</v>
      </c>
      <c r="D20" s="294">
        <f t="shared" si="6"/>
        <v>267289.10000000003</v>
      </c>
      <c r="E20" s="294">
        <v>17116.900000000001</v>
      </c>
      <c r="F20" s="294">
        <v>84575.1</v>
      </c>
      <c r="G20" s="294">
        <f t="shared" si="7"/>
        <v>101692</v>
      </c>
      <c r="H20" s="294">
        <v>2359.9</v>
      </c>
      <c r="I20" s="294">
        <v>17066.900000000001</v>
      </c>
      <c r="J20" s="294">
        <f t="shared" si="8"/>
        <v>19426.800000000003</v>
      </c>
      <c r="K20" s="294">
        <f>5051.1+905114.9</f>
        <v>910166</v>
      </c>
      <c r="L20" s="294">
        <f t="shared" si="9"/>
        <v>1031284.8</v>
      </c>
      <c r="M20" s="294">
        <v>-174619.6</v>
      </c>
      <c r="N20" s="294">
        <f t="shared" si="10"/>
        <v>856665.20000000007</v>
      </c>
      <c r="O20" s="294">
        <f t="shared" si="11"/>
        <v>1123954.3</v>
      </c>
      <c r="P20" s="270" t="s">
        <v>743</v>
      </c>
    </row>
    <row r="21" spans="1:16" ht="11.1" customHeight="1">
      <c r="A21" s="376" t="s">
        <v>737</v>
      </c>
      <c r="B21" s="361">
        <v>251729.4</v>
      </c>
      <c r="C21" s="361">
        <v>13507.3</v>
      </c>
      <c r="D21" s="361">
        <f t="shared" si="6"/>
        <v>265236.7</v>
      </c>
      <c r="E21" s="361">
        <v>10446.5</v>
      </c>
      <c r="F21" s="361">
        <v>85248.6</v>
      </c>
      <c r="G21" s="361">
        <f t="shared" si="7"/>
        <v>95695.1</v>
      </c>
      <c r="H21" s="361">
        <v>2363.1999999999998</v>
      </c>
      <c r="I21" s="361">
        <v>17268.900000000001</v>
      </c>
      <c r="J21" s="361">
        <f t="shared" si="8"/>
        <v>19632.100000000002</v>
      </c>
      <c r="K21" s="361">
        <f>5003.2+913742.4</f>
        <v>918745.59999999998</v>
      </c>
      <c r="L21" s="361">
        <f t="shared" si="9"/>
        <v>1034072.8</v>
      </c>
      <c r="M21" s="361">
        <v>-180414.9</v>
      </c>
      <c r="N21" s="361">
        <f t="shared" si="10"/>
        <v>853657.9</v>
      </c>
      <c r="O21" s="361">
        <f t="shared" si="11"/>
        <v>1118894.6000000001</v>
      </c>
      <c r="P21" s="377" t="s">
        <v>737</v>
      </c>
    </row>
    <row r="22" spans="1:16" s="213" customFormat="1" ht="11.1" customHeight="1">
      <c r="A22" s="211" t="s">
        <v>744</v>
      </c>
      <c r="B22" s="294">
        <v>248150.39999999999</v>
      </c>
      <c r="C22" s="294">
        <v>12242.9</v>
      </c>
      <c r="D22" s="294">
        <f t="shared" si="6"/>
        <v>260393.3</v>
      </c>
      <c r="E22" s="294">
        <v>14507.2</v>
      </c>
      <c r="F22" s="294">
        <v>81161.7</v>
      </c>
      <c r="G22" s="294">
        <f t="shared" si="7"/>
        <v>95668.9</v>
      </c>
      <c r="H22" s="294">
        <v>2366.6999999999998</v>
      </c>
      <c r="I22" s="294">
        <v>17861.599999999999</v>
      </c>
      <c r="J22" s="294">
        <f t="shared" si="8"/>
        <v>20228.3</v>
      </c>
      <c r="K22" s="294">
        <f>4969+927376</f>
        <v>932345</v>
      </c>
      <c r="L22" s="294">
        <f t="shared" si="9"/>
        <v>1048242.2</v>
      </c>
      <c r="M22" s="294">
        <v>-182810.5</v>
      </c>
      <c r="N22" s="294">
        <f t="shared" si="10"/>
        <v>865431.7</v>
      </c>
      <c r="O22" s="294">
        <f t="shared" si="11"/>
        <v>1125825</v>
      </c>
      <c r="P22" s="270" t="s">
        <v>744</v>
      </c>
    </row>
    <row r="23" spans="1:16" ht="11.1" customHeight="1">
      <c r="A23" s="376" t="s">
        <v>745</v>
      </c>
      <c r="B23" s="361">
        <v>245304.3</v>
      </c>
      <c r="C23" s="361">
        <v>12402.6</v>
      </c>
      <c r="D23" s="361">
        <f t="shared" si="6"/>
        <v>257706.9</v>
      </c>
      <c r="E23" s="361">
        <v>15583.1</v>
      </c>
      <c r="F23" s="361">
        <v>82203.600000000006</v>
      </c>
      <c r="G23" s="361">
        <f t="shared" si="7"/>
        <v>97786.700000000012</v>
      </c>
      <c r="H23" s="361">
        <v>2370.1</v>
      </c>
      <c r="I23" s="361">
        <v>19224.5</v>
      </c>
      <c r="J23" s="361">
        <f t="shared" si="8"/>
        <v>21594.6</v>
      </c>
      <c r="K23" s="361">
        <f>4945+937848.5</f>
        <v>942793.5</v>
      </c>
      <c r="L23" s="361">
        <f t="shared" si="9"/>
        <v>1062174.8</v>
      </c>
      <c r="M23" s="361">
        <v>-188378.5</v>
      </c>
      <c r="N23" s="361">
        <f t="shared" si="10"/>
        <v>873796.3</v>
      </c>
      <c r="O23" s="361">
        <f t="shared" si="11"/>
        <v>1131503.2</v>
      </c>
      <c r="P23" s="377" t="s">
        <v>745</v>
      </c>
    </row>
    <row r="24" spans="1:16" ht="11.1" customHeight="1">
      <c r="A24" s="211" t="s">
        <v>738</v>
      </c>
      <c r="B24" s="294">
        <v>247691.7</v>
      </c>
      <c r="C24" s="294">
        <v>17008.5</v>
      </c>
      <c r="D24" s="294">
        <f t="shared" si="6"/>
        <v>264700.2</v>
      </c>
      <c r="E24" s="294">
        <v>21067.4</v>
      </c>
      <c r="F24" s="294">
        <v>77084.7</v>
      </c>
      <c r="G24" s="294">
        <f t="shared" si="7"/>
        <v>98152.1</v>
      </c>
      <c r="H24" s="294">
        <v>2373.5</v>
      </c>
      <c r="I24" s="294">
        <v>20973.200000000001</v>
      </c>
      <c r="J24" s="294">
        <f t="shared" si="8"/>
        <v>23346.7</v>
      </c>
      <c r="K24" s="294">
        <f>4979+953872.2</f>
        <v>958851.2</v>
      </c>
      <c r="L24" s="294">
        <f t="shared" si="9"/>
        <v>1080350</v>
      </c>
      <c r="M24" s="294">
        <v>-189689.5</v>
      </c>
      <c r="N24" s="294">
        <f t="shared" si="10"/>
        <v>890660.5</v>
      </c>
      <c r="O24" s="294">
        <f t="shared" si="11"/>
        <v>1155360.7</v>
      </c>
      <c r="P24" s="270" t="s">
        <v>738</v>
      </c>
    </row>
    <row r="25" spans="1:16" ht="11.1" customHeight="1">
      <c r="A25" s="376" t="s">
        <v>746</v>
      </c>
      <c r="B25" s="361">
        <v>245563.2</v>
      </c>
      <c r="C25" s="361">
        <v>13415.6</v>
      </c>
      <c r="D25" s="361">
        <f t="shared" si="6"/>
        <v>258978.80000000002</v>
      </c>
      <c r="E25" s="361">
        <v>17669.8</v>
      </c>
      <c r="F25" s="361">
        <v>81247.100000000006</v>
      </c>
      <c r="G25" s="361">
        <f t="shared" si="7"/>
        <v>98916.900000000009</v>
      </c>
      <c r="H25" s="361">
        <v>2347.6</v>
      </c>
      <c r="I25" s="361">
        <v>21763.200000000001</v>
      </c>
      <c r="J25" s="361">
        <f t="shared" si="8"/>
        <v>24110.799999999999</v>
      </c>
      <c r="K25" s="361">
        <f>4910.9+958897.1</f>
        <v>963808</v>
      </c>
      <c r="L25" s="361">
        <f t="shared" si="9"/>
        <v>1086835.7</v>
      </c>
      <c r="M25" s="361">
        <v>-191256.7</v>
      </c>
      <c r="N25" s="361">
        <f t="shared" si="10"/>
        <v>895579</v>
      </c>
      <c r="O25" s="361">
        <f t="shared" si="11"/>
        <v>1154557.8</v>
      </c>
      <c r="P25" s="377" t="s">
        <v>746</v>
      </c>
    </row>
    <row r="26" spans="1:16" s="213" customFormat="1" ht="11.1" customHeight="1">
      <c r="A26" s="211" t="s">
        <v>747</v>
      </c>
      <c r="B26" s="294">
        <v>250320.8</v>
      </c>
      <c r="C26" s="294">
        <v>15120.6</v>
      </c>
      <c r="D26" s="294">
        <f t="shared" si="6"/>
        <v>265441.39999999997</v>
      </c>
      <c r="E26" s="294">
        <v>13370.8</v>
      </c>
      <c r="F26" s="294">
        <v>79575.199999999997</v>
      </c>
      <c r="G26" s="294">
        <f t="shared" si="7"/>
        <v>92946</v>
      </c>
      <c r="H26" s="294">
        <v>2352.6</v>
      </c>
      <c r="I26" s="294">
        <v>21515.8</v>
      </c>
      <c r="J26" s="294">
        <f t="shared" si="8"/>
        <v>23868.399999999998</v>
      </c>
      <c r="K26" s="294">
        <f>4783.6+965565.1</f>
        <v>970348.7</v>
      </c>
      <c r="L26" s="294">
        <f t="shared" si="9"/>
        <v>1087163.0999999999</v>
      </c>
      <c r="M26" s="294">
        <v>-192031.7</v>
      </c>
      <c r="N26" s="294">
        <f t="shared" si="10"/>
        <v>895131.39999999991</v>
      </c>
      <c r="O26" s="294">
        <f t="shared" si="11"/>
        <v>1160572.7999999998</v>
      </c>
      <c r="P26" s="270" t="s">
        <v>747</v>
      </c>
    </row>
    <row r="27" spans="1:16" s="213" customFormat="1" ht="11.1" customHeight="1">
      <c r="A27" s="376" t="s">
        <v>739</v>
      </c>
      <c r="B27" s="361">
        <v>251391.3</v>
      </c>
      <c r="C27" s="361">
        <v>18081.8</v>
      </c>
      <c r="D27" s="361">
        <f t="shared" si="6"/>
        <v>269473.09999999998</v>
      </c>
      <c r="E27" s="361">
        <v>11760.6</v>
      </c>
      <c r="F27" s="361">
        <v>80751.399999999994</v>
      </c>
      <c r="G27" s="361">
        <f t="shared" si="7"/>
        <v>92512</v>
      </c>
      <c r="H27" s="361">
        <v>2354.3000000000002</v>
      </c>
      <c r="I27" s="361">
        <v>21707.7</v>
      </c>
      <c r="J27" s="361">
        <f t="shared" si="8"/>
        <v>24062</v>
      </c>
      <c r="K27" s="361">
        <f>4815+974871.1</f>
        <v>979686.1</v>
      </c>
      <c r="L27" s="361">
        <f t="shared" si="9"/>
        <v>1096260.1000000001</v>
      </c>
      <c r="M27" s="361">
        <v>-197153.8</v>
      </c>
      <c r="N27" s="361">
        <f t="shared" si="10"/>
        <v>899106.3</v>
      </c>
      <c r="O27" s="361">
        <f t="shared" si="11"/>
        <v>1168579.3999999999</v>
      </c>
      <c r="P27" s="377" t="s">
        <v>739</v>
      </c>
    </row>
    <row r="28" spans="1:16" s="213" customFormat="1" ht="11.1" customHeight="1">
      <c r="A28" s="211" t="s">
        <v>748</v>
      </c>
      <c r="B28" s="294">
        <v>249633.4</v>
      </c>
      <c r="C28" s="294">
        <v>13454.1</v>
      </c>
      <c r="D28" s="294">
        <f t="shared" si="6"/>
        <v>263087.5</v>
      </c>
      <c r="E28" s="294">
        <v>16694.900000000001</v>
      </c>
      <c r="F28" s="294">
        <v>76571.7</v>
      </c>
      <c r="G28" s="294">
        <f t="shared" si="7"/>
        <v>93266.6</v>
      </c>
      <c r="H28" s="294">
        <v>2328</v>
      </c>
      <c r="I28" s="294">
        <v>21373.4</v>
      </c>
      <c r="J28" s="294">
        <f t="shared" si="8"/>
        <v>23701.4</v>
      </c>
      <c r="K28" s="294">
        <f>4776.5+983152.7</f>
        <v>987929.2</v>
      </c>
      <c r="L28" s="294">
        <f t="shared" si="9"/>
        <v>1104897.2</v>
      </c>
      <c r="M28" s="294">
        <v>-197041.1</v>
      </c>
      <c r="N28" s="294">
        <f t="shared" si="10"/>
        <v>907856.1</v>
      </c>
      <c r="O28" s="294">
        <f t="shared" si="11"/>
        <v>1170943.6000000001</v>
      </c>
      <c r="P28" s="270" t="s">
        <v>748</v>
      </c>
    </row>
    <row r="29" spans="1:16" s="213" customFormat="1" ht="11.1" customHeight="1">
      <c r="A29" s="376" t="s">
        <v>749</v>
      </c>
      <c r="B29" s="361">
        <f>248731</f>
        <v>248731</v>
      </c>
      <c r="C29" s="361">
        <v>16078.8</v>
      </c>
      <c r="D29" s="361">
        <f t="shared" si="6"/>
        <v>264809.8</v>
      </c>
      <c r="E29" s="361">
        <v>33722.6</v>
      </c>
      <c r="F29" s="361">
        <v>79362.100000000006</v>
      </c>
      <c r="G29" s="361">
        <f t="shared" si="7"/>
        <v>113084.70000000001</v>
      </c>
      <c r="H29" s="361">
        <v>2382.3000000000002</v>
      </c>
      <c r="I29" s="361">
        <v>22023.4</v>
      </c>
      <c r="J29" s="361">
        <f t="shared" si="8"/>
        <v>24405.7</v>
      </c>
      <c r="K29" s="361">
        <f>4776.7+996141.5</f>
        <v>1000918.2</v>
      </c>
      <c r="L29" s="361">
        <f t="shared" si="9"/>
        <v>1138408.6000000001</v>
      </c>
      <c r="M29" s="361">
        <v>-198060.79999999999</v>
      </c>
      <c r="N29" s="361">
        <f t="shared" si="10"/>
        <v>940347.8</v>
      </c>
      <c r="O29" s="361">
        <f t="shared" si="11"/>
        <v>1205157.6000000001</v>
      </c>
      <c r="P29" s="377" t="s">
        <v>749</v>
      </c>
    </row>
    <row r="30" spans="1:16" s="213" customFormat="1" ht="11.1" customHeight="1">
      <c r="A30" s="211" t="s">
        <v>740</v>
      </c>
      <c r="B30" s="294">
        <v>257195.4</v>
      </c>
      <c r="C30" s="294">
        <v>15204.1</v>
      </c>
      <c r="D30" s="294">
        <f t="shared" si="6"/>
        <v>272399.5</v>
      </c>
      <c r="E30" s="294">
        <v>31189</v>
      </c>
      <c r="F30" s="294">
        <v>82084.399999999994</v>
      </c>
      <c r="G30" s="294">
        <f t="shared" si="7"/>
        <v>113273.4</v>
      </c>
      <c r="H30" s="294">
        <v>2380.4</v>
      </c>
      <c r="I30" s="294">
        <v>20975.200000000001</v>
      </c>
      <c r="J30" s="294">
        <f t="shared" si="8"/>
        <v>23355.600000000002</v>
      </c>
      <c r="K30" s="294">
        <f>4789.5+1005466.2</f>
        <v>1010255.7</v>
      </c>
      <c r="L30" s="294">
        <f t="shared" si="9"/>
        <v>1146884.7</v>
      </c>
      <c r="M30" s="294">
        <v>-199672.7</v>
      </c>
      <c r="N30" s="294">
        <f t="shared" si="10"/>
        <v>947212</v>
      </c>
      <c r="O30" s="294">
        <f t="shared" si="11"/>
        <v>1219611.5</v>
      </c>
      <c r="P30" s="270" t="s">
        <v>740</v>
      </c>
    </row>
    <row r="31" spans="1:16" s="213" customFormat="1" ht="11.1" customHeight="1">
      <c r="A31" s="378" t="s">
        <v>2017</v>
      </c>
      <c r="B31" s="416">
        <f>B43</f>
        <v>286040.90000000002</v>
      </c>
      <c r="C31" s="416">
        <f t="shared" ref="C31:O31" si="12">C43</f>
        <v>11295.3</v>
      </c>
      <c r="D31" s="416">
        <f t="shared" si="12"/>
        <v>297336.2</v>
      </c>
      <c r="E31" s="416">
        <f t="shared" si="12"/>
        <v>42117.1</v>
      </c>
      <c r="F31" s="416">
        <f t="shared" si="12"/>
        <v>139033.60000000001</v>
      </c>
      <c r="G31" s="416">
        <f t="shared" si="12"/>
        <v>181150.7</v>
      </c>
      <c r="H31" s="416">
        <f t="shared" si="12"/>
        <v>2551.9</v>
      </c>
      <c r="I31" s="416">
        <f t="shared" si="12"/>
        <v>26663.200000000001</v>
      </c>
      <c r="J31" s="416">
        <f t="shared" si="12"/>
        <v>29215.100000000002</v>
      </c>
      <c r="K31" s="416">
        <f t="shared" si="12"/>
        <v>1097267.8999999999</v>
      </c>
      <c r="L31" s="416">
        <f t="shared" si="12"/>
        <v>1307633.7</v>
      </c>
      <c r="M31" s="416">
        <f t="shared" si="12"/>
        <v>-231234.9</v>
      </c>
      <c r="N31" s="416">
        <f t="shared" si="12"/>
        <v>1076398.8</v>
      </c>
      <c r="O31" s="416">
        <f t="shared" si="12"/>
        <v>1373735</v>
      </c>
      <c r="P31" s="379" t="s">
        <v>2017</v>
      </c>
    </row>
    <row r="32" spans="1:16" s="213" customFormat="1" ht="11.1" customHeight="1">
      <c r="A32" s="211" t="s">
        <v>742</v>
      </c>
      <c r="B32" s="294">
        <v>255655.5</v>
      </c>
      <c r="C32" s="294">
        <v>17122.2</v>
      </c>
      <c r="D32" s="294">
        <f t="shared" si="6"/>
        <v>272777.7</v>
      </c>
      <c r="E32" s="294">
        <v>29485.4</v>
      </c>
      <c r="F32" s="294">
        <v>100477.1</v>
      </c>
      <c r="G32" s="294">
        <f t="shared" si="7"/>
        <v>129962.5</v>
      </c>
      <c r="H32" s="294">
        <v>2471.3000000000002</v>
      </c>
      <c r="I32" s="294">
        <v>21951.9</v>
      </c>
      <c r="J32" s="294">
        <f t="shared" si="8"/>
        <v>24423.200000000001</v>
      </c>
      <c r="K32" s="294">
        <f>4805.1+998160.9</f>
        <v>1002966</v>
      </c>
      <c r="L32" s="294">
        <f t="shared" si="9"/>
        <v>1157351.7</v>
      </c>
      <c r="M32" s="294">
        <v>-200557</v>
      </c>
      <c r="N32" s="294">
        <f t="shared" ref="N32:N55" si="13">L32+M32</f>
        <v>956794.7</v>
      </c>
      <c r="O32" s="294">
        <f t="shared" ref="O32:O55" si="14">D32+N32</f>
        <v>1229572.3999999999</v>
      </c>
      <c r="P32" s="270" t="s">
        <v>742</v>
      </c>
    </row>
    <row r="33" spans="1:16" s="211" customFormat="1" ht="11.1" customHeight="1">
      <c r="A33" s="376" t="s">
        <v>743</v>
      </c>
      <c r="B33" s="361">
        <v>257546.7</v>
      </c>
      <c r="C33" s="361">
        <v>17047.7</v>
      </c>
      <c r="D33" s="361">
        <f t="shared" si="6"/>
        <v>274594.40000000002</v>
      </c>
      <c r="E33" s="361">
        <v>29929</v>
      </c>
      <c r="F33" s="361">
        <v>108448.7</v>
      </c>
      <c r="G33" s="361">
        <f t="shared" si="7"/>
        <v>138377.70000000001</v>
      </c>
      <c r="H33" s="361">
        <v>2475.1999999999998</v>
      </c>
      <c r="I33" s="361">
        <v>21927.3</v>
      </c>
      <c r="J33" s="361">
        <f t="shared" si="8"/>
        <v>24402.5</v>
      </c>
      <c r="K33" s="361">
        <f>4801.2+1002596.8</f>
        <v>1007398</v>
      </c>
      <c r="L33" s="361">
        <f t="shared" si="9"/>
        <v>1170178.2</v>
      </c>
      <c r="M33" s="361">
        <v>-198467.3</v>
      </c>
      <c r="N33" s="361">
        <f t="shared" si="13"/>
        <v>971710.89999999991</v>
      </c>
      <c r="O33" s="361">
        <f t="shared" si="14"/>
        <v>1246305.2999999998</v>
      </c>
      <c r="P33" s="377" t="s">
        <v>743</v>
      </c>
    </row>
    <row r="34" spans="1:16" s="211" customFormat="1" ht="11.1" customHeight="1">
      <c r="A34" s="211" t="s">
        <v>737</v>
      </c>
      <c r="B34" s="294">
        <v>254607.6</v>
      </c>
      <c r="C34" s="294">
        <v>16670.599999999999</v>
      </c>
      <c r="D34" s="294">
        <f t="shared" si="6"/>
        <v>271278.2</v>
      </c>
      <c r="E34" s="294">
        <v>28908.2</v>
      </c>
      <c r="F34" s="294">
        <v>111873.4</v>
      </c>
      <c r="G34" s="294">
        <f t="shared" si="7"/>
        <v>140781.6</v>
      </c>
      <c r="H34" s="294">
        <v>2480.8000000000002</v>
      </c>
      <c r="I34" s="294">
        <v>23266.2</v>
      </c>
      <c r="J34" s="294">
        <f t="shared" si="8"/>
        <v>25747</v>
      </c>
      <c r="K34" s="294">
        <f>4817.5+1011879.3</f>
        <v>1016696.8</v>
      </c>
      <c r="L34" s="294">
        <f t="shared" si="9"/>
        <v>1183225.4000000001</v>
      </c>
      <c r="M34" s="294">
        <v>-202622.7</v>
      </c>
      <c r="N34" s="294">
        <f t="shared" si="13"/>
        <v>980602.70000000019</v>
      </c>
      <c r="O34" s="294">
        <f t="shared" si="14"/>
        <v>1251880.9000000001</v>
      </c>
      <c r="P34" s="270" t="s">
        <v>737</v>
      </c>
    </row>
    <row r="35" spans="1:16" s="211" customFormat="1" ht="11.1" customHeight="1">
      <c r="A35" s="376" t="s">
        <v>744</v>
      </c>
      <c r="B35" s="361">
        <v>256007.2</v>
      </c>
      <c r="C35" s="361">
        <v>14238.6</v>
      </c>
      <c r="D35" s="361">
        <f t="shared" si="6"/>
        <v>270245.8</v>
      </c>
      <c r="E35" s="361">
        <v>33824.6</v>
      </c>
      <c r="F35" s="361">
        <v>113832.4</v>
      </c>
      <c r="G35" s="361">
        <f t="shared" si="7"/>
        <v>147657</v>
      </c>
      <c r="H35" s="361">
        <v>2483</v>
      </c>
      <c r="I35" s="361">
        <v>23364.799999999999</v>
      </c>
      <c r="J35" s="361">
        <f t="shared" si="8"/>
        <v>25847.8</v>
      </c>
      <c r="K35" s="361">
        <f>4815.3+1021143.1</f>
        <v>1025958.4</v>
      </c>
      <c r="L35" s="361">
        <f t="shared" si="9"/>
        <v>1199463.2</v>
      </c>
      <c r="M35" s="361">
        <v>-207897.8</v>
      </c>
      <c r="N35" s="361">
        <f t="shared" si="13"/>
        <v>991565.39999999991</v>
      </c>
      <c r="O35" s="361">
        <f t="shared" si="14"/>
        <v>1261811.2</v>
      </c>
      <c r="P35" s="377" t="s">
        <v>744</v>
      </c>
    </row>
    <row r="36" spans="1:16" s="211" customFormat="1" ht="11.1" customHeight="1">
      <c r="A36" s="211" t="s">
        <v>745</v>
      </c>
      <c r="B36" s="294">
        <v>255448.9</v>
      </c>
      <c r="C36" s="294">
        <v>14918.8</v>
      </c>
      <c r="D36" s="294">
        <f t="shared" si="6"/>
        <v>270367.7</v>
      </c>
      <c r="E36" s="294">
        <v>30168.5</v>
      </c>
      <c r="F36" s="294">
        <v>123267.8</v>
      </c>
      <c r="G36" s="294">
        <f t="shared" si="7"/>
        <v>153436.29999999999</v>
      </c>
      <c r="H36" s="294">
        <v>2587.1999999999998</v>
      </c>
      <c r="I36" s="294">
        <v>24363.7</v>
      </c>
      <c r="J36" s="294">
        <f t="shared" si="8"/>
        <v>26950.9</v>
      </c>
      <c r="K36" s="294">
        <f>4804.9+1031010.4</f>
        <v>1035815.3</v>
      </c>
      <c r="L36" s="294">
        <f t="shared" si="9"/>
        <v>1216202.5</v>
      </c>
      <c r="M36" s="294">
        <v>-211093.2</v>
      </c>
      <c r="N36" s="294">
        <f t="shared" si="13"/>
        <v>1005109.3</v>
      </c>
      <c r="O36" s="294">
        <f t="shared" si="14"/>
        <v>1275477</v>
      </c>
      <c r="P36" s="270" t="s">
        <v>745</v>
      </c>
    </row>
    <row r="37" spans="1:16" s="211" customFormat="1" ht="11.1" customHeight="1">
      <c r="A37" s="376" t="s">
        <v>738</v>
      </c>
      <c r="B37" s="361">
        <v>259113.4</v>
      </c>
      <c r="C37" s="361">
        <v>15013.1</v>
      </c>
      <c r="D37" s="361">
        <f t="shared" si="6"/>
        <v>274126.5</v>
      </c>
      <c r="E37" s="361">
        <v>34438.199999999997</v>
      </c>
      <c r="F37" s="361">
        <v>122422.6</v>
      </c>
      <c r="G37" s="361">
        <f t="shared" si="7"/>
        <v>156860.79999999999</v>
      </c>
      <c r="H37" s="361">
        <v>2593</v>
      </c>
      <c r="I37" s="361">
        <v>27992.7</v>
      </c>
      <c r="J37" s="361">
        <f t="shared" si="8"/>
        <v>30585.7</v>
      </c>
      <c r="K37" s="361">
        <f>4868.2+1048283.4</f>
        <v>1053151.6000000001</v>
      </c>
      <c r="L37" s="361">
        <f t="shared" si="9"/>
        <v>1240598.1000000001</v>
      </c>
      <c r="M37" s="361">
        <v>-220289.5</v>
      </c>
      <c r="N37" s="361">
        <f t="shared" si="13"/>
        <v>1020308.6000000001</v>
      </c>
      <c r="O37" s="361">
        <f t="shared" si="14"/>
        <v>1294435.1000000001</v>
      </c>
      <c r="P37" s="377" t="s">
        <v>738</v>
      </c>
    </row>
    <row r="38" spans="1:16" s="211" customFormat="1" ht="11.1" customHeight="1">
      <c r="A38" s="211" t="s">
        <v>746</v>
      </c>
      <c r="B38" s="294">
        <v>259738.6</v>
      </c>
      <c r="C38" s="294">
        <v>14611.3</v>
      </c>
      <c r="D38" s="294">
        <f t="shared" si="6"/>
        <v>274349.90000000002</v>
      </c>
      <c r="E38" s="294">
        <v>32763.8</v>
      </c>
      <c r="F38" s="294">
        <v>130491.3</v>
      </c>
      <c r="G38" s="294">
        <f t="shared" si="7"/>
        <v>163255.1</v>
      </c>
      <c r="H38" s="294">
        <v>2569</v>
      </c>
      <c r="I38" s="294">
        <v>27174.2</v>
      </c>
      <c r="J38" s="294">
        <f t="shared" si="8"/>
        <v>29743.200000000001</v>
      </c>
      <c r="K38" s="294">
        <f>4846.5+1047627.2</f>
        <v>1052473.7</v>
      </c>
      <c r="L38" s="294">
        <f t="shared" si="9"/>
        <v>1245472</v>
      </c>
      <c r="M38" s="294">
        <v>-222272</v>
      </c>
      <c r="N38" s="294">
        <f t="shared" si="13"/>
        <v>1023200</v>
      </c>
      <c r="O38" s="294">
        <f t="shared" si="14"/>
        <v>1297549.8999999999</v>
      </c>
      <c r="P38" s="270" t="s">
        <v>746</v>
      </c>
    </row>
    <row r="39" spans="1:16" s="211" customFormat="1" ht="11.1" customHeight="1">
      <c r="A39" s="376" t="s">
        <v>747</v>
      </c>
      <c r="B39" s="361">
        <v>260343.4</v>
      </c>
      <c r="C39" s="361">
        <v>17143.099999999999</v>
      </c>
      <c r="D39" s="361">
        <f t="shared" si="6"/>
        <v>277486.5</v>
      </c>
      <c r="E39" s="361">
        <v>26329.1</v>
      </c>
      <c r="F39" s="361">
        <v>135912.5</v>
      </c>
      <c r="G39" s="361">
        <f t="shared" si="7"/>
        <v>162241.60000000001</v>
      </c>
      <c r="H39" s="361">
        <v>2574.9</v>
      </c>
      <c r="I39" s="361">
        <v>27458.7</v>
      </c>
      <c r="J39" s="361">
        <f t="shared" si="8"/>
        <v>30033.600000000002</v>
      </c>
      <c r="K39" s="361">
        <f>4879.3+1054020.1</f>
        <v>1058899.4000000001</v>
      </c>
      <c r="L39" s="361">
        <f t="shared" si="9"/>
        <v>1251174.6000000001</v>
      </c>
      <c r="M39" s="361">
        <v>-222164.4</v>
      </c>
      <c r="N39" s="361">
        <f t="shared" si="13"/>
        <v>1029010.2000000001</v>
      </c>
      <c r="O39" s="361">
        <f t="shared" si="14"/>
        <v>1306496.7000000002</v>
      </c>
      <c r="P39" s="377" t="s">
        <v>747</v>
      </c>
    </row>
    <row r="40" spans="1:16" s="211" customFormat="1" ht="11.1" customHeight="1">
      <c r="A40" s="211" t="s">
        <v>739</v>
      </c>
      <c r="B40" s="294">
        <v>263114.5</v>
      </c>
      <c r="C40" s="294">
        <v>16128.2</v>
      </c>
      <c r="D40" s="294">
        <f t="shared" si="6"/>
        <v>279242.7</v>
      </c>
      <c r="E40" s="294">
        <v>22201</v>
      </c>
      <c r="F40" s="294">
        <v>111564.1</v>
      </c>
      <c r="G40" s="294">
        <f t="shared" si="7"/>
        <v>133765.1</v>
      </c>
      <c r="H40" s="294">
        <v>2577.5</v>
      </c>
      <c r="I40" s="294">
        <v>27563.8</v>
      </c>
      <c r="J40" s="294">
        <f t="shared" si="8"/>
        <v>30141.3</v>
      </c>
      <c r="K40" s="294">
        <f>4992.8+1061586.7</f>
        <v>1066579.5</v>
      </c>
      <c r="L40" s="294">
        <f t="shared" si="9"/>
        <v>1230485.8999999999</v>
      </c>
      <c r="M40" s="294">
        <v>-199060.1</v>
      </c>
      <c r="N40" s="294">
        <f t="shared" si="13"/>
        <v>1031425.7999999999</v>
      </c>
      <c r="O40" s="294">
        <f t="shared" si="14"/>
        <v>1310668.5</v>
      </c>
      <c r="P40" s="270" t="s">
        <v>739</v>
      </c>
    </row>
    <row r="41" spans="1:16" s="211" customFormat="1" ht="11.1" customHeight="1">
      <c r="A41" s="376" t="s">
        <v>748</v>
      </c>
      <c r="B41" s="361">
        <v>265600.7</v>
      </c>
      <c r="C41" s="361">
        <v>16859.099999999999</v>
      </c>
      <c r="D41" s="361">
        <f t="shared" si="6"/>
        <v>282459.8</v>
      </c>
      <c r="E41" s="361">
        <v>34797.800000000003</v>
      </c>
      <c r="F41" s="361">
        <v>133584.20000000001</v>
      </c>
      <c r="G41" s="361">
        <f t="shared" si="7"/>
        <v>168382</v>
      </c>
      <c r="H41" s="361">
        <v>2577.5</v>
      </c>
      <c r="I41" s="361">
        <v>27341.7</v>
      </c>
      <c r="J41" s="361">
        <f t="shared" si="8"/>
        <v>29919.200000000001</v>
      </c>
      <c r="K41" s="361">
        <f>5016.5+1070154.1</f>
        <v>1075170.6000000001</v>
      </c>
      <c r="L41" s="361">
        <f t="shared" si="9"/>
        <v>1273471.8</v>
      </c>
      <c r="M41" s="361">
        <v>-229866.1</v>
      </c>
      <c r="N41" s="361">
        <f t="shared" si="13"/>
        <v>1043605.7000000001</v>
      </c>
      <c r="O41" s="361">
        <f t="shared" si="14"/>
        <v>1326065.5</v>
      </c>
      <c r="P41" s="377" t="s">
        <v>748</v>
      </c>
    </row>
    <row r="42" spans="1:16" s="211" customFormat="1" ht="11.1" customHeight="1">
      <c r="A42" s="211" t="s">
        <v>749</v>
      </c>
      <c r="B42" s="294">
        <v>271808</v>
      </c>
      <c r="C42" s="294">
        <v>14629.3</v>
      </c>
      <c r="D42" s="294">
        <f t="shared" si="6"/>
        <v>286437.3</v>
      </c>
      <c r="E42" s="294">
        <v>31707.4</v>
      </c>
      <c r="F42" s="294">
        <v>130810.6</v>
      </c>
      <c r="G42" s="294">
        <f t="shared" si="7"/>
        <v>162518</v>
      </c>
      <c r="H42" s="294">
        <v>2566.3000000000002</v>
      </c>
      <c r="I42" s="294">
        <v>27285.4</v>
      </c>
      <c r="J42" s="294">
        <f t="shared" si="8"/>
        <v>29851.7</v>
      </c>
      <c r="K42" s="294">
        <f>5271.6+1084286</f>
        <v>1089557.6000000001</v>
      </c>
      <c r="L42" s="294">
        <f t="shared" si="9"/>
        <v>1281927.3</v>
      </c>
      <c r="M42" s="294">
        <v>-216733.6</v>
      </c>
      <c r="N42" s="294">
        <f t="shared" si="13"/>
        <v>1065193.7</v>
      </c>
      <c r="O42" s="294">
        <f t="shared" si="14"/>
        <v>1351631</v>
      </c>
      <c r="P42" s="270" t="s">
        <v>749</v>
      </c>
    </row>
    <row r="43" spans="1:16" s="211" customFormat="1" ht="11.1" customHeight="1">
      <c r="A43" s="376" t="s">
        <v>740</v>
      </c>
      <c r="B43" s="361">
        <v>286040.90000000002</v>
      </c>
      <c r="C43" s="361">
        <v>11295.3</v>
      </c>
      <c r="D43" s="361">
        <f t="shared" si="6"/>
        <v>297336.2</v>
      </c>
      <c r="E43" s="361">
        <v>42117.1</v>
      </c>
      <c r="F43" s="361">
        <v>139033.60000000001</v>
      </c>
      <c r="G43" s="361">
        <f t="shared" si="7"/>
        <v>181150.7</v>
      </c>
      <c r="H43" s="361">
        <v>2551.9</v>
      </c>
      <c r="I43" s="361">
        <v>26663.200000000001</v>
      </c>
      <c r="J43" s="361">
        <f t="shared" si="8"/>
        <v>29215.100000000002</v>
      </c>
      <c r="K43" s="361">
        <f>5342.5+1091925.4</f>
        <v>1097267.8999999999</v>
      </c>
      <c r="L43" s="361">
        <f t="shared" si="9"/>
        <v>1307633.7</v>
      </c>
      <c r="M43" s="361">
        <v>-231234.9</v>
      </c>
      <c r="N43" s="361">
        <f t="shared" si="13"/>
        <v>1076398.8</v>
      </c>
      <c r="O43" s="361">
        <f t="shared" si="14"/>
        <v>1373735</v>
      </c>
      <c r="P43" s="377" t="s">
        <v>740</v>
      </c>
    </row>
    <row r="44" spans="1:16" s="211" customFormat="1" ht="11.1" customHeight="1">
      <c r="A44" s="243" t="s">
        <v>2114</v>
      </c>
      <c r="B44" s="294"/>
      <c r="C44" s="294"/>
      <c r="D44" s="294"/>
      <c r="E44" s="294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577" t="s">
        <v>2114</v>
      </c>
    </row>
    <row r="45" spans="1:16" s="211" customFormat="1" ht="11.1" customHeight="1">
      <c r="A45" s="376" t="s">
        <v>742</v>
      </c>
      <c r="B45" s="361">
        <v>297266.40000000002</v>
      </c>
      <c r="C45" s="361">
        <v>13630.7</v>
      </c>
      <c r="D45" s="361">
        <f t="shared" si="6"/>
        <v>310897.10000000003</v>
      </c>
      <c r="E45" s="361">
        <v>38923.9</v>
      </c>
      <c r="F45" s="361">
        <v>157771</v>
      </c>
      <c r="G45" s="361">
        <f t="shared" si="7"/>
        <v>196694.9</v>
      </c>
      <c r="H45" s="361">
        <v>2502.6999999999998</v>
      </c>
      <c r="I45" s="361">
        <v>26555.599999999999</v>
      </c>
      <c r="J45" s="361">
        <f t="shared" si="8"/>
        <v>29058.3</v>
      </c>
      <c r="K45" s="361">
        <f>5126.4+1090075.4</f>
        <v>1095201.7999999998</v>
      </c>
      <c r="L45" s="361">
        <f t="shared" si="9"/>
        <v>1320954.9999999998</v>
      </c>
      <c r="M45" s="361">
        <v>-226973.9</v>
      </c>
      <c r="N45" s="361">
        <f t="shared" si="13"/>
        <v>1093981.0999999999</v>
      </c>
      <c r="O45" s="361">
        <f t="shared" si="14"/>
        <v>1404878.2</v>
      </c>
      <c r="P45" s="377" t="s">
        <v>742</v>
      </c>
    </row>
    <row r="46" spans="1:16" s="211" customFormat="1" ht="11.1" customHeight="1">
      <c r="A46" s="211" t="s">
        <v>743</v>
      </c>
      <c r="B46" s="294">
        <v>307680.5</v>
      </c>
      <c r="C46" s="294">
        <v>14569.5</v>
      </c>
      <c r="D46" s="294">
        <f t="shared" si="6"/>
        <v>322250</v>
      </c>
      <c r="E46" s="294">
        <v>22094.6</v>
      </c>
      <c r="F46" s="294">
        <v>173093.3</v>
      </c>
      <c r="G46" s="294">
        <f t="shared" si="7"/>
        <v>195187.9</v>
      </c>
      <c r="H46" s="294">
        <v>2581.6</v>
      </c>
      <c r="I46" s="294">
        <v>26954.400000000001</v>
      </c>
      <c r="J46" s="294">
        <f t="shared" si="8"/>
        <v>29536</v>
      </c>
      <c r="K46" s="294">
        <f>5042.8+1096632.9</f>
        <v>1101675.7</v>
      </c>
      <c r="L46" s="294">
        <f t="shared" si="9"/>
        <v>1326399.5999999999</v>
      </c>
      <c r="M46" s="294">
        <v>-233237.3</v>
      </c>
      <c r="N46" s="294">
        <f t="shared" si="13"/>
        <v>1093162.2999999998</v>
      </c>
      <c r="O46" s="294">
        <f t="shared" si="14"/>
        <v>1415412.2999999998</v>
      </c>
      <c r="P46" s="270" t="s">
        <v>743</v>
      </c>
    </row>
    <row r="47" spans="1:16" s="211" customFormat="1" ht="11.1" customHeight="1">
      <c r="A47" s="742" t="s">
        <v>737</v>
      </c>
      <c r="B47" s="361">
        <v>313613.3</v>
      </c>
      <c r="C47" s="361">
        <v>17544.3</v>
      </c>
      <c r="D47" s="361">
        <f t="shared" si="6"/>
        <v>331157.59999999998</v>
      </c>
      <c r="E47" s="361">
        <v>12186.7</v>
      </c>
      <c r="F47" s="361">
        <v>178311.9</v>
      </c>
      <c r="G47" s="361">
        <f t="shared" si="7"/>
        <v>190498.6</v>
      </c>
      <c r="H47" s="361">
        <v>2584.5</v>
      </c>
      <c r="I47" s="361">
        <v>26793.5</v>
      </c>
      <c r="J47" s="361">
        <f t="shared" si="8"/>
        <v>29378</v>
      </c>
      <c r="K47" s="361">
        <f>5039.2+1108043.1</f>
        <v>1113082.3</v>
      </c>
      <c r="L47" s="361">
        <f t="shared" si="9"/>
        <v>1332958.9000000001</v>
      </c>
      <c r="M47" s="361">
        <v>-237912</v>
      </c>
      <c r="N47" s="361">
        <f t="shared" si="13"/>
        <v>1095046.9000000001</v>
      </c>
      <c r="O47" s="361">
        <f t="shared" si="14"/>
        <v>1426204.5</v>
      </c>
      <c r="P47" s="377" t="s">
        <v>737</v>
      </c>
    </row>
    <row r="48" spans="1:16" s="211" customFormat="1" ht="11.1" customHeight="1">
      <c r="A48" s="211" t="s">
        <v>744</v>
      </c>
      <c r="B48" s="294">
        <v>322383.40000000002</v>
      </c>
      <c r="C48" s="294">
        <v>14543.2</v>
      </c>
      <c r="D48" s="294">
        <f t="shared" si="6"/>
        <v>336926.60000000003</v>
      </c>
      <c r="E48" s="294">
        <v>11533.9</v>
      </c>
      <c r="F48" s="294">
        <v>180073.2</v>
      </c>
      <c r="G48" s="294">
        <f t="shared" si="7"/>
        <v>191607.1</v>
      </c>
      <c r="H48" s="294">
        <v>2911.9</v>
      </c>
      <c r="I48" s="294">
        <v>27143.7</v>
      </c>
      <c r="J48" s="294">
        <f t="shared" si="8"/>
        <v>30055.600000000002</v>
      </c>
      <c r="K48" s="294">
        <f>5085.2+1109237.2</f>
        <v>1114322.3999999999</v>
      </c>
      <c r="L48" s="294">
        <f t="shared" si="9"/>
        <v>1335985.0999999999</v>
      </c>
      <c r="M48" s="294">
        <v>-233183.7</v>
      </c>
      <c r="N48" s="294">
        <f t="shared" si="13"/>
        <v>1102801.3999999999</v>
      </c>
      <c r="O48" s="294">
        <f t="shared" si="14"/>
        <v>1439728</v>
      </c>
      <c r="P48" s="270" t="s">
        <v>744</v>
      </c>
    </row>
    <row r="49" spans="1:18" s="211" customFormat="1" ht="11.1" customHeight="1">
      <c r="A49" s="376" t="s">
        <v>745</v>
      </c>
      <c r="B49" s="361">
        <v>330892.7</v>
      </c>
      <c r="C49" s="361">
        <v>14510.5</v>
      </c>
      <c r="D49" s="361">
        <f t="shared" si="6"/>
        <v>345403.2</v>
      </c>
      <c r="E49" s="361">
        <v>9855.7999999999993</v>
      </c>
      <c r="F49" s="361">
        <v>183290.2</v>
      </c>
      <c r="G49" s="361">
        <f t="shared" si="7"/>
        <v>193146</v>
      </c>
      <c r="H49" s="361">
        <v>2873.3</v>
      </c>
      <c r="I49" s="361">
        <v>27767.5</v>
      </c>
      <c r="J49" s="361">
        <f t="shared" si="8"/>
        <v>30640.799999999999</v>
      </c>
      <c r="K49" s="361">
        <f>5047.4+1115854.6</f>
        <v>1120902</v>
      </c>
      <c r="L49" s="361">
        <f t="shared" si="9"/>
        <v>1344688.8</v>
      </c>
      <c r="M49" s="361">
        <v>-236131.9</v>
      </c>
      <c r="N49" s="361">
        <f t="shared" si="13"/>
        <v>1108556.9000000001</v>
      </c>
      <c r="O49" s="361">
        <f t="shared" si="14"/>
        <v>1453960.1</v>
      </c>
      <c r="P49" s="377" t="s">
        <v>745</v>
      </c>
    </row>
    <row r="50" spans="1:18" s="211" customFormat="1" ht="11.1" customHeight="1">
      <c r="A50" s="211" t="s">
        <v>738</v>
      </c>
      <c r="B50" s="294">
        <v>341180.7</v>
      </c>
      <c r="C50" s="294">
        <v>15796.1</v>
      </c>
      <c r="D50" s="294">
        <f t="shared" si="6"/>
        <v>356976.8</v>
      </c>
      <c r="E50" s="294">
        <v>1313.5</v>
      </c>
      <c r="F50" s="294">
        <v>189969.1</v>
      </c>
      <c r="G50" s="294">
        <f t="shared" si="7"/>
        <v>191282.6</v>
      </c>
      <c r="H50" s="294">
        <v>2832.9</v>
      </c>
      <c r="I50" s="294">
        <v>28157</v>
      </c>
      <c r="J50" s="294">
        <f t="shared" si="8"/>
        <v>30989.9</v>
      </c>
      <c r="K50" s="294">
        <f>5329.2+1135973.8</f>
        <v>1141303</v>
      </c>
      <c r="L50" s="294">
        <f t="shared" si="9"/>
        <v>1363575.5</v>
      </c>
      <c r="M50" s="294">
        <v>-241867.8</v>
      </c>
      <c r="N50" s="294">
        <f t="shared" si="13"/>
        <v>1121707.7</v>
      </c>
      <c r="O50" s="294">
        <f t="shared" si="14"/>
        <v>1478684.5</v>
      </c>
      <c r="P50" s="270" t="s">
        <v>738</v>
      </c>
      <c r="R50" s="996"/>
    </row>
    <row r="51" spans="1:18" s="211" customFormat="1" ht="11.1" customHeight="1">
      <c r="A51" s="376" t="s">
        <v>746</v>
      </c>
      <c r="B51" s="361">
        <v>343476.8</v>
      </c>
      <c r="C51" s="361">
        <v>15680.7</v>
      </c>
      <c r="D51" s="361">
        <f t="shared" si="6"/>
        <v>359157.5</v>
      </c>
      <c r="E51" s="361">
        <v>-206.2</v>
      </c>
      <c r="F51" s="361">
        <v>191567.2</v>
      </c>
      <c r="G51" s="361">
        <f t="shared" si="7"/>
        <v>191361</v>
      </c>
      <c r="H51" s="361">
        <v>3177.5</v>
      </c>
      <c r="I51" s="361">
        <v>27862.799999999999</v>
      </c>
      <c r="J51" s="361">
        <f t="shared" si="8"/>
        <v>31040.3</v>
      </c>
      <c r="K51" s="361">
        <f>5363.1+1134660.2</f>
        <v>1140023.3</v>
      </c>
      <c r="L51" s="361">
        <f t="shared" si="9"/>
        <v>1362424.6</v>
      </c>
      <c r="M51" s="361">
        <v>-249111.2</v>
      </c>
      <c r="N51" s="361">
        <f t="shared" si="13"/>
        <v>1113313.4000000001</v>
      </c>
      <c r="O51" s="361">
        <f t="shared" si="14"/>
        <v>1472470.9000000001</v>
      </c>
      <c r="P51" s="377" t="s">
        <v>746</v>
      </c>
      <c r="R51" s="996"/>
    </row>
    <row r="52" spans="1:18" s="211" customFormat="1" ht="11.1" customHeight="1">
      <c r="A52" s="211" t="s">
        <v>747</v>
      </c>
      <c r="B52" s="294">
        <v>347148.6</v>
      </c>
      <c r="C52" s="294">
        <v>14582.4</v>
      </c>
      <c r="D52" s="294">
        <f t="shared" si="6"/>
        <v>361731</v>
      </c>
      <c r="E52" s="294">
        <v>-11316.8</v>
      </c>
      <c r="F52" s="294">
        <v>190828.3</v>
      </c>
      <c r="G52" s="294">
        <f t="shared" si="7"/>
        <v>179511.5</v>
      </c>
      <c r="H52" s="294">
        <v>3182.9</v>
      </c>
      <c r="I52" s="294">
        <v>28299.200000000001</v>
      </c>
      <c r="J52" s="294">
        <f t="shared" si="8"/>
        <v>31482.100000000002</v>
      </c>
      <c r="K52" s="294">
        <f>5375.3+1148135.3</f>
        <v>1153510.6000000001</v>
      </c>
      <c r="L52" s="294">
        <f t="shared" si="9"/>
        <v>1364504.2000000002</v>
      </c>
      <c r="M52" s="294">
        <v>-245302.1</v>
      </c>
      <c r="N52" s="294">
        <f t="shared" si="13"/>
        <v>1119202.1000000001</v>
      </c>
      <c r="O52" s="294">
        <f t="shared" si="14"/>
        <v>1480933.1</v>
      </c>
      <c r="P52" s="270" t="s">
        <v>747</v>
      </c>
      <c r="R52" s="996"/>
    </row>
    <row r="53" spans="1:18" s="211" customFormat="1" ht="11.1" customHeight="1">
      <c r="A53" s="376" t="s">
        <v>739</v>
      </c>
      <c r="B53" s="361">
        <v>346841.2</v>
      </c>
      <c r="C53" s="361">
        <v>15356.7</v>
      </c>
      <c r="D53" s="361">
        <f t="shared" si="6"/>
        <v>362197.9</v>
      </c>
      <c r="E53" s="361">
        <v>-9799.1</v>
      </c>
      <c r="F53" s="361">
        <v>188710.9</v>
      </c>
      <c r="G53" s="361">
        <f t="shared" si="7"/>
        <v>178911.8</v>
      </c>
      <c r="H53" s="361">
        <v>3263.5</v>
      </c>
      <c r="I53" s="361">
        <v>28175</v>
      </c>
      <c r="J53" s="361">
        <f t="shared" si="8"/>
        <v>31438.5</v>
      </c>
      <c r="K53" s="361">
        <f>5459+1154924.4</f>
        <v>1160383.3999999999</v>
      </c>
      <c r="L53" s="361">
        <f t="shared" si="9"/>
        <v>1370733.7</v>
      </c>
      <c r="M53" s="361">
        <v>-249137.8</v>
      </c>
      <c r="N53" s="361">
        <f t="shared" si="13"/>
        <v>1121595.8999999999</v>
      </c>
      <c r="O53" s="361">
        <f t="shared" si="14"/>
        <v>1483793.7999999998</v>
      </c>
      <c r="P53" s="377" t="s">
        <v>739</v>
      </c>
      <c r="R53" s="996"/>
    </row>
    <row r="54" spans="1:18" s="211" customFormat="1" ht="11.1" customHeight="1">
      <c r="A54" s="211" t="s">
        <v>748</v>
      </c>
      <c r="B54" s="294">
        <v>352524.2</v>
      </c>
      <c r="C54" s="294">
        <v>17183</v>
      </c>
      <c r="D54" s="294">
        <f t="shared" si="6"/>
        <v>369707.2</v>
      </c>
      <c r="E54" s="294">
        <v>-1952.8</v>
      </c>
      <c r="F54" s="294">
        <v>189120.9</v>
      </c>
      <c r="G54" s="294">
        <f t="shared" si="7"/>
        <v>187168.1</v>
      </c>
      <c r="H54" s="294">
        <v>3189.7</v>
      </c>
      <c r="I54" s="294">
        <v>27542.6</v>
      </c>
      <c r="J54" s="294">
        <f t="shared" si="8"/>
        <v>30732.3</v>
      </c>
      <c r="K54" s="294">
        <f>5517.9+1158813.5</f>
        <v>1164331.3999999999</v>
      </c>
      <c r="L54" s="294">
        <f t="shared" si="9"/>
        <v>1382231.7999999998</v>
      </c>
      <c r="M54" s="294">
        <v>-251497.5</v>
      </c>
      <c r="N54" s="294">
        <f t="shared" si="13"/>
        <v>1130734.2999999998</v>
      </c>
      <c r="O54" s="294">
        <f t="shared" si="14"/>
        <v>1500441.4999999998</v>
      </c>
      <c r="P54" s="270" t="s">
        <v>748</v>
      </c>
      <c r="R54" s="996"/>
    </row>
    <row r="55" spans="1:18" s="211" customFormat="1" ht="11.1" customHeight="1" thickBot="1">
      <c r="A55" s="419" t="s">
        <v>749</v>
      </c>
      <c r="B55" s="840">
        <v>361530.9</v>
      </c>
      <c r="C55" s="840">
        <v>16389.400000000001</v>
      </c>
      <c r="D55" s="840">
        <f t="shared" si="6"/>
        <v>377920.30000000005</v>
      </c>
      <c r="E55" s="840">
        <v>-482.4</v>
      </c>
      <c r="F55" s="840">
        <v>197961.1</v>
      </c>
      <c r="G55" s="840">
        <f t="shared" si="7"/>
        <v>197478.7</v>
      </c>
      <c r="H55" s="840">
        <v>3212.2</v>
      </c>
      <c r="I55" s="840">
        <v>27567.8</v>
      </c>
      <c r="J55" s="840">
        <f t="shared" si="8"/>
        <v>30780</v>
      </c>
      <c r="K55" s="840">
        <f>5516.2+1166292.7</f>
        <v>1171808.8999999999</v>
      </c>
      <c r="L55" s="840">
        <f t="shared" si="9"/>
        <v>1400067.5999999999</v>
      </c>
      <c r="M55" s="840">
        <v>-251712.5</v>
      </c>
      <c r="N55" s="840">
        <f t="shared" si="13"/>
        <v>1148355.0999999999</v>
      </c>
      <c r="O55" s="840">
        <f t="shared" si="14"/>
        <v>1526275.4</v>
      </c>
      <c r="P55" s="675" t="s">
        <v>749</v>
      </c>
      <c r="R55" s="996"/>
    </row>
    <row r="56" spans="1:18" ht="10.5" customHeight="1">
      <c r="A56" s="711" t="s">
        <v>230</v>
      </c>
      <c r="B56" s="1812" t="s">
        <v>1769</v>
      </c>
      <c r="C56" s="1812"/>
      <c r="D56" s="1812"/>
      <c r="E56" s="1812"/>
      <c r="F56" s="1812"/>
      <c r="G56" s="1812"/>
      <c r="H56" s="1812"/>
      <c r="I56" s="711" t="s">
        <v>232</v>
      </c>
      <c r="J56" s="1812" t="s">
        <v>1371</v>
      </c>
      <c r="K56" s="1812"/>
      <c r="L56" s="1812"/>
      <c r="M56" s="1812"/>
      <c r="N56" s="1812"/>
      <c r="O56" s="1812"/>
      <c r="P56" s="1812"/>
      <c r="R56" s="48"/>
    </row>
    <row r="57" spans="1:18" ht="10.5" customHeight="1">
      <c r="A57" s="47"/>
      <c r="B57" s="1815" t="s">
        <v>1730</v>
      </c>
      <c r="C57" s="1815"/>
      <c r="D57" s="1815"/>
      <c r="E57" s="925"/>
      <c r="F57" s="925"/>
      <c r="G57" s="925"/>
      <c r="H57" s="925"/>
      <c r="J57" s="1816" t="s">
        <v>1633</v>
      </c>
      <c r="K57" s="1816"/>
      <c r="L57" s="1816"/>
      <c r="M57" s="1816"/>
      <c r="N57" s="1816"/>
      <c r="O57" s="1816"/>
      <c r="P57" s="1816"/>
    </row>
    <row r="58" spans="1:18" ht="10.5" customHeight="1">
      <c r="B58" s="1047"/>
      <c r="C58" s="1047"/>
      <c r="D58" s="1047"/>
      <c r="E58" s="1047"/>
      <c r="F58" s="1047"/>
      <c r="G58" s="1047"/>
      <c r="H58" s="18"/>
      <c r="I58" s="58" t="s">
        <v>231</v>
      </c>
      <c r="J58" s="1821" t="s">
        <v>1635</v>
      </c>
      <c r="K58" s="1821"/>
      <c r="L58" s="1821"/>
      <c r="M58" s="1821"/>
      <c r="N58" s="1821"/>
      <c r="Q58" s="213"/>
    </row>
    <row r="59" spans="1:18" ht="12.75" customHeight="1">
      <c r="M59" s="48"/>
      <c r="N59" s="48"/>
      <c r="O59" s="48"/>
      <c r="P59" s="48"/>
      <c r="Q59" s="599"/>
    </row>
    <row r="60" spans="1:18" ht="12.75" customHeight="1">
      <c r="G60" s="105"/>
      <c r="H60" s="105"/>
      <c r="I60" s="105"/>
      <c r="L60" s="48"/>
      <c r="M60" s="105"/>
      <c r="N60" s="48"/>
      <c r="O60" s="105"/>
      <c r="P60" s="48"/>
      <c r="Q60" s="213"/>
    </row>
    <row r="61" spans="1:18" ht="12.75" customHeight="1">
      <c r="G61" s="105"/>
      <c r="H61" s="105"/>
      <c r="I61" s="105"/>
      <c r="J61" s="48"/>
      <c r="K61" s="105"/>
      <c r="L61" s="48"/>
      <c r="M61" s="105"/>
      <c r="N61" s="48"/>
      <c r="O61" s="105"/>
      <c r="P61" s="599"/>
      <c r="Q61" s="213"/>
    </row>
    <row r="62" spans="1:18">
      <c r="J62" s="48"/>
      <c r="K62" s="105"/>
      <c r="L62" s="48"/>
      <c r="M62" s="105"/>
      <c r="N62" s="105"/>
      <c r="O62" s="225"/>
      <c r="P62" s="599"/>
      <c r="Q62" s="213"/>
    </row>
    <row r="63" spans="1:18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599"/>
    </row>
    <row r="64" spans="1:18">
      <c r="D64" s="48"/>
      <c r="E64" s="105"/>
      <c r="H64" s="48"/>
      <c r="I64" s="105"/>
      <c r="J64" s="48"/>
      <c r="K64" s="48"/>
      <c r="L64" s="105"/>
      <c r="M64" s="105"/>
      <c r="O64" s="599"/>
      <c r="P64" s="599"/>
    </row>
    <row r="65" spans="2:16">
      <c r="D65" s="48"/>
      <c r="E65" s="105"/>
      <c r="J65" s="48"/>
      <c r="K65" s="105"/>
      <c r="L65" s="48"/>
      <c r="O65" s="225"/>
      <c r="P65" s="213"/>
    </row>
    <row r="66" spans="2:16">
      <c r="D66" s="105"/>
      <c r="K66" s="48"/>
      <c r="L66" s="105"/>
      <c r="M66" s="105"/>
    </row>
    <row r="67" spans="2:16">
      <c r="J67" s="48"/>
      <c r="K67" s="105"/>
      <c r="L67" s="48"/>
      <c r="M67" s="105"/>
    </row>
    <row r="68" spans="2:16">
      <c r="J68" s="48"/>
    </row>
    <row r="70" spans="2:16">
      <c r="L70" s="48"/>
      <c r="M70" s="105"/>
    </row>
    <row r="72" spans="2:16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</row>
    <row r="73" spans="2:16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</row>
    <row r="74" spans="2:16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</row>
    <row r="75" spans="2:16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</row>
    <row r="76" spans="2:16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</row>
    <row r="77" spans="2:16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</row>
    <row r="78" spans="2:16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</row>
    <row r="79" spans="2:16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</row>
    <row r="80" spans="2:16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</row>
    <row r="81" spans="2:16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</row>
    <row r="82" spans="2:16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</row>
  </sheetData>
  <mergeCells count="32">
    <mergeCell ref="O1:P1"/>
    <mergeCell ref="O2:P2"/>
    <mergeCell ref="O3:O7"/>
    <mergeCell ref="G1:H1"/>
    <mergeCell ref="M3:M7"/>
    <mergeCell ref="I1:J1"/>
    <mergeCell ref="N3:N7"/>
    <mergeCell ref="J58:N58"/>
    <mergeCell ref="P3:P8"/>
    <mergeCell ref="K4:K7"/>
    <mergeCell ref="A1:C1"/>
    <mergeCell ref="E4:J4"/>
    <mergeCell ref="G6:G7"/>
    <mergeCell ref="A3:A8"/>
    <mergeCell ref="B3:D3"/>
    <mergeCell ref="D4:D7"/>
    <mergeCell ref="B4:B7"/>
    <mergeCell ref="H5:J5"/>
    <mergeCell ref="J6:J7"/>
    <mergeCell ref="I3:K3"/>
    <mergeCell ref="H6:H7"/>
    <mergeCell ref="I6:I7"/>
    <mergeCell ref="E3:H3"/>
    <mergeCell ref="B56:H56"/>
    <mergeCell ref="C4:C7"/>
    <mergeCell ref="J56:P56"/>
    <mergeCell ref="B57:D57"/>
    <mergeCell ref="J57:P57"/>
    <mergeCell ref="L4:L7"/>
    <mergeCell ref="E5:G5"/>
    <mergeCell ref="E6:E7"/>
    <mergeCell ref="F6:F7"/>
  </mergeCells>
  <phoneticPr fontId="0" type="noConversion"/>
  <pageMargins left="0.62992125984252001" right="0.511811023622047" top="0.261811024" bottom="0" header="0" footer="0.196850393700787"/>
  <pageSetup paperSize="448" firstPageNumber="12" orientation="portrait" useFirstPageNumber="1" r:id="rId1"/>
  <headerFooter alignWithMargins="0">
    <oddFooter>&amp;C&amp;"Times New Roman,Regular"&amp;8&amp;P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P72"/>
  <sheetViews>
    <sheetView zoomScale="130" zoomScaleNormal="130" workbookViewId="0">
      <pane xSplit="1" ySplit="5" topLeftCell="B39" activePane="bottomRight" state="frozen"/>
      <selection activeCell="F85" sqref="F85"/>
      <selection pane="topRight" activeCell="F85" sqref="F85"/>
      <selection pane="bottomLeft" activeCell="F85" sqref="F85"/>
      <selection pane="bottomRight" activeCell="H56" sqref="H56"/>
    </sheetView>
  </sheetViews>
  <sheetFormatPr defaultColWidth="9.140625" defaultRowHeight="12.75"/>
  <cols>
    <col min="1" max="1" width="11.140625" style="536" customWidth="1"/>
    <col min="2" max="2" width="13.7109375" style="536" customWidth="1"/>
    <col min="3" max="3" width="12.85546875" style="536" customWidth="1"/>
    <col min="4" max="4" width="13" style="536" customWidth="1"/>
    <col min="5" max="5" width="13.42578125" style="536" customWidth="1"/>
    <col min="6" max="6" width="13" style="536" customWidth="1"/>
    <col min="7" max="8" width="12.7109375" style="536" customWidth="1"/>
    <col min="9" max="10" width="13.28515625" style="536" customWidth="1"/>
    <col min="11" max="11" width="14.42578125" style="536" customWidth="1"/>
    <col min="12" max="12" width="11.85546875" style="536" customWidth="1"/>
    <col min="13" max="13" width="10.42578125" style="536" bestFit="1" customWidth="1"/>
    <col min="14" max="14" width="10.7109375" style="536" customWidth="1"/>
    <col min="15" max="15" width="11" style="536" customWidth="1"/>
    <col min="16" max="16384" width="9.140625" style="536"/>
  </cols>
  <sheetData>
    <row r="1" spans="1:12" s="215" customFormat="1" ht="15.75">
      <c r="D1" s="1842" t="s">
        <v>1073</v>
      </c>
      <c r="E1" s="1842"/>
      <c r="F1" s="1842"/>
      <c r="G1" s="1848" t="s">
        <v>607</v>
      </c>
      <c r="H1" s="1848"/>
      <c r="I1" s="1848"/>
      <c r="K1" s="1842" t="s">
        <v>488</v>
      </c>
      <c r="L1" s="1842"/>
    </row>
    <row r="2" spans="1:12" s="218" customFormat="1" ht="10.5" customHeight="1">
      <c r="F2" s="575"/>
      <c r="K2" s="1849" t="s">
        <v>255</v>
      </c>
      <c r="L2" s="1849"/>
    </row>
    <row r="3" spans="1:12" s="220" customFormat="1" ht="22.5" customHeight="1">
      <c r="A3" s="1845" t="s">
        <v>1194</v>
      </c>
      <c r="B3" s="1851" t="s">
        <v>233</v>
      </c>
      <c r="C3" s="1783" t="s">
        <v>1197</v>
      </c>
      <c r="D3" s="1843" t="s">
        <v>555</v>
      </c>
      <c r="E3" s="1844"/>
      <c r="F3" s="1804"/>
      <c r="G3" s="1843" t="s">
        <v>557</v>
      </c>
      <c r="H3" s="1844"/>
      <c r="I3" s="1804"/>
      <c r="J3" s="1783" t="s">
        <v>1031</v>
      </c>
      <c r="K3" s="1783" t="s">
        <v>1196</v>
      </c>
      <c r="L3" s="1845" t="s">
        <v>1195</v>
      </c>
    </row>
    <row r="4" spans="1:12" s="220" customFormat="1" ht="22.5" customHeight="1">
      <c r="A4" s="1846"/>
      <c r="B4" s="1852"/>
      <c r="C4" s="1721"/>
      <c r="D4" s="831" t="s">
        <v>556</v>
      </c>
      <c r="E4" s="831" t="s">
        <v>660</v>
      </c>
      <c r="F4" s="831" t="s">
        <v>659</v>
      </c>
      <c r="G4" s="831" t="s">
        <v>556</v>
      </c>
      <c r="H4" s="831" t="s">
        <v>660</v>
      </c>
      <c r="I4" s="831" t="s">
        <v>659</v>
      </c>
      <c r="J4" s="1721"/>
      <c r="K4" s="1721"/>
      <c r="L4" s="1846"/>
    </row>
    <row r="5" spans="1:12" s="632" customFormat="1" ht="12" customHeight="1">
      <c r="A5" s="1847"/>
      <c r="B5" s="630">
        <v>1</v>
      </c>
      <c r="C5" s="631">
        <v>2</v>
      </c>
      <c r="D5" s="631">
        <v>3</v>
      </c>
      <c r="E5" s="631">
        <v>4</v>
      </c>
      <c r="F5" s="631" t="s">
        <v>234</v>
      </c>
      <c r="G5" s="631">
        <v>6</v>
      </c>
      <c r="H5" s="631">
        <v>7</v>
      </c>
      <c r="I5" s="631" t="s">
        <v>235</v>
      </c>
      <c r="J5" s="631">
        <v>9</v>
      </c>
      <c r="K5" s="631" t="s">
        <v>558</v>
      </c>
      <c r="L5" s="1847"/>
    </row>
    <row r="6" spans="1:12" ht="11.45" customHeight="1">
      <c r="A6" s="929" t="s">
        <v>83</v>
      </c>
      <c r="B6" s="562">
        <v>54252.9</v>
      </c>
      <c r="C6" s="562">
        <v>12.3</v>
      </c>
      <c r="D6" s="562">
        <v>1765.4</v>
      </c>
      <c r="E6" s="562">
        <v>9474.7999999999993</v>
      </c>
      <c r="F6" s="844">
        <f t="shared" ref="F6:F7" si="0">D6+E6</f>
        <v>11240.199999999999</v>
      </c>
      <c r="G6" s="562">
        <v>11036.2</v>
      </c>
      <c r="H6" s="562">
        <v>205147.4</v>
      </c>
      <c r="I6" s="844">
        <f t="shared" ref="I6:I7" si="1">G6+H6</f>
        <v>216183.6</v>
      </c>
      <c r="J6" s="562">
        <v>56138.6</v>
      </c>
      <c r="K6" s="844">
        <f t="shared" ref="K6:K7" si="2">B6+C6+F6+I6+J6</f>
        <v>337827.6</v>
      </c>
      <c r="L6" s="930" t="s">
        <v>83</v>
      </c>
    </row>
    <row r="7" spans="1:12" ht="11.45" customHeight="1">
      <c r="A7" s="213" t="s">
        <v>225</v>
      </c>
      <c r="B7" s="568">
        <v>73227.899999999994</v>
      </c>
      <c r="C7" s="568">
        <v>9.4</v>
      </c>
      <c r="D7" s="568">
        <v>2162.1</v>
      </c>
      <c r="E7" s="568">
        <v>9681.2999999999993</v>
      </c>
      <c r="F7" s="628">
        <f t="shared" si="0"/>
        <v>11843.4</v>
      </c>
      <c r="G7" s="568">
        <v>14780.8</v>
      </c>
      <c r="H7" s="568">
        <v>261545.2</v>
      </c>
      <c r="I7" s="628">
        <f t="shared" si="1"/>
        <v>276326</v>
      </c>
      <c r="J7" s="568">
        <v>69486.3</v>
      </c>
      <c r="K7" s="628">
        <f t="shared" si="2"/>
        <v>430892.99999999994</v>
      </c>
      <c r="L7" s="535" t="s">
        <v>225</v>
      </c>
    </row>
    <row r="8" spans="1:12" ht="11.45" customHeight="1">
      <c r="A8" s="929" t="s">
        <v>972</v>
      </c>
      <c r="B8" s="562">
        <v>91728.8</v>
      </c>
      <c r="C8" s="562">
        <v>5.8</v>
      </c>
      <c r="D8" s="562">
        <v>2558.6</v>
      </c>
      <c r="E8" s="562">
        <v>11158.6</v>
      </c>
      <c r="F8" s="844">
        <v>13717.2</v>
      </c>
      <c r="G8" s="562">
        <v>12777.7</v>
      </c>
      <c r="H8" s="562">
        <v>320176.90000000002</v>
      </c>
      <c r="I8" s="844">
        <v>332954.60000000003</v>
      </c>
      <c r="J8" s="562">
        <v>76566.2</v>
      </c>
      <c r="K8" s="844">
        <v>514972.60000000003</v>
      </c>
      <c r="L8" s="930" t="s">
        <v>972</v>
      </c>
    </row>
    <row r="9" spans="1:12" ht="11.45" customHeight="1">
      <c r="A9" s="213" t="s">
        <v>1107</v>
      </c>
      <c r="B9" s="568">
        <v>110124.6</v>
      </c>
      <c r="C9" s="568">
        <v>2.2999999999999998</v>
      </c>
      <c r="D9" s="568">
        <v>3509.3</v>
      </c>
      <c r="E9" s="568">
        <v>14227.8</v>
      </c>
      <c r="F9" s="628">
        <v>17737.099999999999</v>
      </c>
      <c r="G9" s="568">
        <v>5943.7</v>
      </c>
      <c r="H9" s="568">
        <v>354128.7</v>
      </c>
      <c r="I9" s="628">
        <v>360072.4</v>
      </c>
      <c r="J9" s="568">
        <v>83800.7</v>
      </c>
      <c r="K9" s="628">
        <v>571737.1</v>
      </c>
      <c r="L9" s="535" t="s">
        <v>1107</v>
      </c>
    </row>
    <row r="10" spans="1:12" s="437" customFormat="1" ht="11.45" customHeight="1">
      <c r="A10" s="359" t="s">
        <v>1347</v>
      </c>
      <c r="B10" s="562">
        <v>117529.4</v>
      </c>
      <c r="C10" s="562">
        <v>0</v>
      </c>
      <c r="D10" s="562">
        <v>5279.8</v>
      </c>
      <c r="E10" s="562">
        <v>17064.3</v>
      </c>
      <c r="F10" s="562">
        <v>22344.1</v>
      </c>
      <c r="G10" s="562">
        <v>7457.2</v>
      </c>
      <c r="H10" s="562">
        <v>396366.5</v>
      </c>
      <c r="I10" s="562">
        <v>403823.7</v>
      </c>
      <c r="J10" s="562">
        <v>94209.1</v>
      </c>
      <c r="K10" s="562">
        <v>637906.29999999993</v>
      </c>
      <c r="L10" s="473" t="s">
        <v>1347</v>
      </c>
    </row>
    <row r="11" spans="1:12" s="437" customFormat="1" ht="11.45" customHeight="1">
      <c r="A11" s="292" t="s">
        <v>1406</v>
      </c>
      <c r="B11" s="568">
        <v>110257.3</v>
      </c>
      <c r="C11" s="568">
        <v>0</v>
      </c>
      <c r="D11" s="568">
        <v>5366.6</v>
      </c>
      <c r="E11" s="568">
        <v>21902.2</v>
      </c>
      <c r="F11" s="568">
        <v>27268.799999999999</v>
      </c>
      <c r="G11" s="568">
        <v>11303.2</v>
      </c>
      <c r="H11" s="568">
        <v>447518.7</v>
      </c>
      <c r="I11" s="568">
        <v>458821.8</v>
      </c>
      <c r="J11" s="568">
        <v>105178.6</v>
      </c>
      <c r="K11" s="568">
        <v>701526.5</v>
      </c>
      <c r="L11" s="496" t="s">
        <v>1406</v>
      </c>
    </row>
    <row r="12" spans="1:12" s="437" customFormat="1" ht="11.45" customHeight="1">
      <c r="A12" s="359" t="s">
        <v>1560</v>
      </c>
      <c r="B12" s="564">
        <v>114219.6</v>
      </c>
      <c r="C12" s="564">
        <v>0</v>
      </c>
      <c r="D12" s="564">
        <v>6923.8</v>
      </c>
      <c r="E12" s="564">
        <v>26923.7</v>
      </c>
      <c r="F12" s="564">
        <v>33847.5</v>
      </c>
      <c r="G12" s="564">
        <v>9127.2999999999993</v>
      </c>
      <c r="H12" s="564">
        <v>531340.4</v>
      </c>
      <c r="I12" s="564">
        <v>540467.70000000007</v>
      </c>
      <c r="J12" s="564">
        <v>112745.2</v>
      </c>
      <c r="K12" s="564">
        <v>801280</v>
      </c>
      <c r="L12" s="473" t="s">
        <v>1560</v>
      </c>
    </row>
    <row r="13" spans="1:12" s="437" customFormat="1" ht="11.45" customHeight="1">
      <c r="A13" s="1323" t="s">
        <v>1596</v>
      </c>
      <c r="B13" s="563">
        <v>97333.5</v>
      </c>
      <c r="C13" s="563">
        <v>0</v>
      </c>
      <c r="D13" s="563">
        <v>8161.5</v>
      </c>
      <c r="E13" s="563">
        <v>33950.300000000003</v>
      </c>
      <c r="F13" s="563">
        <v>42111.8</v>
      </c>
      <c r="G13" s="563">
        <v>9118.7000000000007</v>
      </c>
      <c r="H13" s="563">
        <v>612395</v>
      </c>
      <c r="I13" s="563">
        <v>621513.69999999995</v>
      </c>
      <c r="J13" s="563">
        <v>129711.2</v>
      </c>
      <c r="K13" s="563">
        <v>890670.2</v>
      </c>
      <c r="L13" s="474" t="s">
        <v>1596</v>
      </c>
    </row>
    <row r="14" spans="1:12" s="437" customFormat="1" ht="11.45" customHeight="1">
      <c r="A14" s="865" t="s">
        <v>1756</v>
      </c>
      <c r="B14" s="692">
        <v>94894.9</v>
      </c>
      <c r="C14" s="692">
        <v>0</v>
      </c>
      <c r="D14" s="692">
        <v>8638.7999999999993</v>
      </c>
      <c r="E14" s="692">
        <v>43216.2</v>
      </c>
      <c r="F14" s="692">
        <v>51875.3</v>
      </c>
      <c r="G14" s="692">
        <v>10561.3</v>
      </c>
      <c r="H14" s="692">
        <v>714397</v>
      </c>
      <c r="I14" s="692">
        <v>724958.3</v>
      </c>
      <c r="J14" s="692">
        <v>149898.09999999995</v>
      </c>
      <c r="K14" s="692">
        <v>1021626.6</v>
      </c>
      <c r="L14" s="1085" t="s">
        <v>1756</v>
      </c>
    </row>
    <row r="15" spans="1:12" s="285" customFormat="1" ht="11.45" customHeight="1">
      <c r="A15" s="243" t="s">
        <v>1904</v>
      </c>
      <c r="B15" s="661">
        <f>B27</f>
        <v>113273.4</v>
      </c>
      <c r="C15" s="661">
        <f t="shared" ref="C15:K15" si="3">C27</f>
        <v>0</v>
      </c>
      <c r="D15" s="661">
        <f t="shared" si="3"/>
        <v>10941.8</v>
      </c>
      <c r="E15" s="661">
        <f t="shared" si="3"/>
        <v>44526.6</v>
      </c>
      <c r="F15" s="661">
        <f t="shared" si="3"/>
        <v>55468.399999999994</v>
      </c>
      <c r="G15" s="661">
        <f t="shared" si="3"/>
        <v>12413.8</v>
      </c>
      <c r="H15" s="661">
        <f t="shared" si="3"/>
        <v>797858.7</v>
      </c>
      <c r="I15" s="661">
        <f t="shared" si="3"/>
        <v>810272.5</v>
      </c>
      <c r="J15" s="661">
        <f t="shared" si="3"/>
        <v>167870.4</v>
      </c>
      <c r="K15" s="661">
        <f t="shared" si="3"/>
        <v>1146884.7</v>
      </c>
      <c r="L15" s="577" t="s">
        <v>1904</v>
      </c>
    </row>
    <row r="16" spans="1:12" s="285" customFormat="1" ht="11.45" customHeight="1">
      <c r="A16" s="376" t="s">
        <v>742</v>
      </c>
      <c r="B16" s="564">
        <v>97182.5</v>
      </c>
      <c r="C16" s="564">
        <v>0</v>
      </c>
      <c r="D16" s="564">
        <v>8808.5</v>
      </c>
      <c r="E16" s="564">
        <v>42955.3</v>
      </c>
      <c r="F16" s="564">
        <f t="shared" ref="F16:F52" si="4">D16+E16</f>
        <v>51763.8</v>
      </c>
      <c r="G16" s="564">
        <v>10675.7</v>
      </c>
      <c r="H16" s="564">
        <v>709670.9</v>
      </c>
      <c r="I16" s="564">
        <f t="shared" ref="I16:I51" si="5">G16+H16</f>
        <v>720346.6</v>
      </c>
      <c r="J16" s="365">
        <v>148839.4</v>
      </c>
      <c r="K16" s="365">
        <f t="shared" ref="K16:K52" si="6">B16+C16+F16+I16+J16</f>
        <v>1018132.2999999999</v>
      </c>
      <c r="L16" s="377" t="s">
        <v>742</v>
      </c>
    </row>
    <row r="17" spans="1:16" ht="11.45" customHeight="1">
      <c r="A17" s="211" t="s">
        <v>743</v>
      </c>
      <c r="B17" s="563">
        <v>101692</v>
      </c>
      <c r="C17" s="563">
        <v>0</v>
      </c>
      <c r="D17" s="563">
        <v>8788.2999999999993</v>
      </c>
      <c r="E17" s="563">
        <v>42722.8</v>
      </c>
      <c r="F17" s="563">
        <f t="shared" si="4"/>
        <v>51511.100000000006</v>
      </c>
      <c r="G17" s="563">
        <v>10638.4</v>
      </c>
      <c r="H17" s="563">
        <v>718497.3</v>
      </c>
      <c r="I17" s="563">
        <f t="shared" si="5"/>
        <v>729135.70000000007</v>
      </c>
      <c r="J17" s="69">
        <v>148946</v>
      </c>
      <c r="K17" s="69">
        <f t="shared" si="6"/>
        <v>1031284.8</v>
      </c>
      <c r="L17" s="270" t="s">
        <v>743</v>
      </c>
    </row>
    <row r="18" spans="1:16" ht="11.45" customHeight="1">
      <c r="A18" s="376" t="s">
        <v>737</v>
      </c>
      <c r="B18" s="564">
        <v>95695.1</v>
      </c>
      <c r="C18" s="564">
        <v>0</v>
      </c>
      <c r="D18" s="564">
        <v>8757.6</v>
      </c>
      <c r="E18" s="564">
        <v>43408.6</v>
      </c>
      <c r="F18" s="564">
        <f t="shared" si="4"/>
        <v>52166.2</v>
      </c>
      <c r="G18" s="564">
        <v>10874.6</v>
      </c>
      <c r="H18" s="564">
        <v>725258.8</v>
      </c>
      <c r="I18" s="564">
        <f t="shared" si="5"/>
        <v>736133.4</v>
      </c>
      <c r="J18" s="365">
        <v>150078.1</v>
      </c>
      <c r="K18" s="365">
        <f t="shared" si="6"/>
        <v>1034072.7999999999</v>
      </c>
      <c r="L18" s="377" t="s">
        <v>737</v>
      </c>
    </row>
    <row r="19" spans="1:16" ht="11.45" customHeight="1">
      <c r="A19" s="211" t="s">
        <v>744</v>
      </c>
      <c r="B19" s="563">
        <v>95668.9</v>
      </c>
      <c r="C19" s="563">
        <v>0</v>
      </c>
      <c r="D19" s="563">
        <v>8853.2999999999993</v>
      </c>
      <c r="E19" s="563">
        <v>44012.1</v>
      </c>
      <c r="F19" s="563">
        <f t="shared" si="4"/>
        <v>52865.399999999994</v>
      </c>
      <c r="G19" s="563">
        <v>11375</v>
      </c>
      <c r="H19" s="563">
        <v>736124.3</v>
      </c>
      <c r="I19" s="563">
        <f t="shared" si="5"/>
        <v>747499.3</v>
      </c>
      <c r="J19" s="69">
        <v>152208.6</v>
      </c>
      <c r="K19" s="69">
        <f t="shared" si="6"/>
        <v>1048242.2000000001</v>
      </c>
      <c r="L19" s="270" t="s">
        <v>744</v>
      </c>
    </row>
    <row r="20" spans="1:16" ht="11.45" customHeight="1">
      <c r="A20" s="376" t="s">
        <v>745</v>
      </c>
      <c r="B20" s="564">
        <v>97786.700000000012</v>
      </c>
      <c r="C20" s="564">
        <v>0</v>
      </c>
      <c r="D20" s="564">
        <v>9533.2000000000007</v>
      </c>
      <c r="E20" s="564">
        <v>45270.400000000001</v>
      </c>
      <c r="F20" s="564">
        <f t="shared" si="4"/>
        <v>54803.600000000006</v>
      </c>
      <c r="G20" s="564">
        <v>12061.4</v>
      </c>
      <c r="H20" s="564">
        <v>744331.1</v>
      </c>
      <c r="I20" s="564">
        <f t="shared" si="5"/>
        <v>756392.5</v>
      </c>
      <c r="J20" s="365">
        <v>153192</v>
      </c>
      <c r="K20" s="365">
        <f t="shared" si="6"/>
        <v>1062174.8</v>
      </c>
      <c r="L20" s="377" t="s">
        <v>745</v>
      </c>
    </row>
    <row r="21" spans="1:16" ht="11.45" customHeight="1">
      <c r="A21" s="211" t="s">
        <v>738</v>
      </c>
      <c r="B21" s="563">
        <v>98152.1</v>
      </c>
      <c r="C21" s="563">
        <v>0</v>
      </c>
      <c r="D21" s="563">
        <v>10375.700000000001</v>
      </c>
      <c r="E21" s="563">
        <v>44700.6</v>
      </c>
      <c r="F21" s="563">
        <f t="shared" si="4"/>
        <v>55076.3</v>
      </c>
      <c r="G21" s="563">
        <v>12971</v>
      </c>
      <c r="H21" s="563">
        <v>756910.9</v>
      </c>
      <c r="I21" s="563">
        <f t="shared" si="5"/>
        <v>769881.9</v>
      </c>
      <c r="J21" s="69">
        <v>157239.70000000001</v>
      </c>
      <c r="K21" s="69">
        <f t="shared" si="6"/>
        <v>1080350</v>
      </c>
      <c r="L21" s="270" t="s">
        <v>738</v>
      </c>
    </row>
    <row r="22" spans="1:16" ht="11.45" customHeight="1">
      <c r="A22" s="376" t="s">
        <v>746</v>
      </c>
      <c r="B22" s="564">
        <v>98916.900000000009</v>
      </c>
      <c r="C22" s="564">
        <v>0</v>
      </c>
      <c r="D22" s="564">
        <v>10319.200000000001</v>
      </c>
      <c r="E22" s="564">
        <v>45416.7</v>
      </c>
      <c r="F22" s="564">
        <f t="shared" si="4"/>
        <v>55735.899999999994</v>
      </c>
      <c r="G22" s="564">
        <v>13791.6</v>
      </c>
      <c r="H22" s="564">
        <v>760348.4</v>
      </c>
      <c r="I22" s="564">
        <f t="shared" si="5"/>
        <v>774140</v>
      </c>
      <c r="J22" s="365">
        <v>158042.9</v>
      </c>
      <c r="K22" s="365">
        <f t="shared" si="6"/>
        <v>1086835.7</v>
      </c>
      <c r="L22" s="377" t="s">
        <v>746</v>
      </c>
    </row>
    <row r="23" spans="1:16" ht="11.45" customHeight="1">
      <c r="A23" s="211" t="s">
        <v>747</v>
      </c>
      <c r="B23" s="563">
        <v>92946</v>
      </c>
      <c r="C23" s="563">
        <v>0</v>
      </c>
      <c r="D23" s="563">
        <v>10240</v>
      </c>
      <c r="E23" s="563">
        <v>44724.5</v>
      </c>
      <c r="F23" s="563">
        <f t="shared" si="4"/>
        <v>54964.5</v>
      </c>
      <c r="G23" s="563">
        <v>13628.4</v>
      </c>
      <c r="H23" s="563">
        <v>766391.8</v>
      </c>
      <c r="I23" s="563">
        <f t="shared" si="5"/>
        <v>780020.20000000007</v>
      </c>
      <c r="J23" s="69">
        <v>159232.4</v>
      </c>
      <c r="K23" s="69">
        <f t="shared" si="6"/>
        <v>1087163.1000000001</v>
      </c>
      <c r="L23" s="270" t="s">
        <v>747</v>
      </c>
    </row>
    <row r="24" spans="1:16" ht="11.45" customHeight="1">
      <c r="A24" s="376" t="s">
        <v>739</v>
      </c>
      <c r="B24" s="564">
        <v>92512</v>
      </c>
      <c r="C24" s="564">
        <v>0</v>
      </c>
      <c r="D24" s="564">
        <v>10322.9</v>
      </c>
      <c r="E24" s="564">
        <v>44055.7</v>
      </c>
      <c r="F24" s="564">
        <f t="shared" si="4"/>
        <v>54378.6</v>
      </c>
      <c r="G24" s="564">
        <v>13739.1</v>
      </c>
      <c r="H24" s="564">
        <v>774765.9</v>
      </c>
      <c r="I24" s="564">
        <f t="shared" si="5"/>
        <v>788505</v>
      </c>
      <c r="J24" s="365">
        <v>160864.5</v>
      </c>
      <c r="K24" s="365">
        <f t="shared" si="6"/>
        <v>1096260.1000000001</v>
      </c>
      <c r="L24" s="377" t="s">
        <v>739</v>
      </c>
    </row>
    <row r="25" spans="1:16" ht="11.45" customHeight="1">
      <c r="A25" s="211" t="s">
        <v>748</v>
      </c>
      <c r="B25" s="563">
        <v>93266.6</v>
      </c>
      <c r="C25" s="563">
        <v>0</v>
      </c>
      <c r="D25" s="563">
        <v>10646.5</v>
      </c>
      <c r="E25" s="563">
        <v>43856.9</v>
      </c>
      <c r="F25" s="563">
        <f t="shared" si="4"/>
        <v>54503.4</v>
      </c>
      <c r="G25" s="563">
        <v>13054.9</v>
      </c>
      <c r="H25" s="563">
        <v>780995.1</v>
      </c>
      <c r="I25" s="563">
        <f t="shared" si="5"/>
        <v>794050</v>
      </c>
      <c r="J25" s="69">
        <v>163077.20000000001</v>
      </c>
      <c r="K25" s="69">
        <f t="shared" si="6"/>
        <v>1104897.2</v>
      </c>
      <c r="L25" s="270" t="s">
        <v>748</v>
      </c>
    </row>
    <row r="26" spans="1:16" ht="11.45" customHeight="1">
      <c r="A26" s="399" t="s">
        <v>749</v>
      </c>
      <c r="B26" s="562">
        <v>113084.70000000001</v>
      </c>
      <c r="C26" s="562">
        <v>0</v>
      </c>
      <c r="D26" s="562">
        <v>11000</v>
      </c>
      <c r="E26" s="562">
        <v>43557.3</v>
      </c>
      <c r="F26" s="562">
        <f t="shared" si="4"/>
        <v>54557.3</v>
      </c>
      <c r="G26" s="562">
        <v>13405.6</v>
      </c>
      <c r="H26" s="562">
        <v>791578.3</v>
      </c>
      <c r="I26" s="562">
        <f t="shared" si="5"/>
        <v>804983.9</v>
      </c>
      <c r="J26" s="361">
        <v>165782.70000000001</v>
      </c>
      <c r="K26" s="361">
        <f t="shared" si="6"/>
        <v>1138408.6000000001</v>
      </c>
      <c r="L26" s="439" t="s">
        <v>749</v>
      </c>
    </row>
    <row r="27" spans="1:16" ht="11.45" customHeight="1">
      <c r="A27" s="322" t="s">
        <v>740</v>
      </c>
      <c r="B27" s="568">
        <v>113273.4</v>
      </c>
      <c r="C27" s="568">
        <v>0</v>
      </c>
      <c r="D27" s="568">
        <v>10941.8</v>
      </c>
      <c r="E27" s="568">
        <v>44526.6</v>
      </c>
      <c r="F27" s="568">
        <f t="shared" si="4"/>
        <v>55468.399999999994</v>
      </c>
      <c r="G27" s="568">
        <v>12413.8</v>
      </c>
      <c r="H27" s="568">
        <v>797858.7</v>
      </c>
      <c r="I27" s="568">
        <f t="shared" si="5"/>
        <v>810272.5</v>
      </c>
      <c r="J27" s="294">
        <v>167870.4</v>
      </c>
      <c r="K27" s="294">
        <f t="shared" si="6"/>
        <v>1146884.7</v>
      </c>
      <c r="L27" s="474" t="s">
        <v>740</v>
      </c>
    </row>
    <row r="28" spans="1:16" ht="11.45" customHeight="1">
      <c r="A28" s="378" t="s">
        <v>2017</v>
      </c>
      <c r="B28" s="692">
        <f>B40</f>
        <v>181150.7</v>
      </c>
      <c r="C28" s="692">
        <f t="shared" ref="C28:K28" si="7">C40</f>
        <v>0</v>
      </c>
      <c r="D28" s="692">
        <f t="shared" si="7"/>
        <v>11420.7</v>
      </c>
      <c r="E28" s="692">
        <f t="shared" si="7"/>
        <v>43383.4</v>
      </c>
      <c r="F28" s="692">
        <f t="shared" si="7"/>
        <v>54804.100000000006</v>
      </c>
      <c r="G28" s="692">
        <f t="shared" si="7"/>
        <v>17794.400000000001</v>
      </c>
      <c r="H28" s="692">
        <f t="shared" si="7"/>
        <v>875826.1</v>
      </c>
      <c r="I28" s="692">
        <f t="shared" si="7"/>
        <v>893620.5</v>
      </c>
      <c r="J28" s="692">
        <f t="shared" si="7"/>
        <v>178058.39999999991</v>
      </c>
      <c r="K28" s="692">
        <f t="shared" si="7"/>
        <v>1307633.7</v>
      </c>
      <c r="L28" s="379" t="s">
        <v>2017</v>
      </c>
    </row>
    <row r="29" spans="1:16" ht="11.45" customHeight="1">
      <c r="A29" s="211" t="s">
        <v>742</v>
      </c>
      <c r="B29" s="568">
        <v>129962.5</v>
      </c>
      <c r="C29" s="568">
        <v>0</v>
      </c>
      <c r="D29" s="568">
        <v>11041.7</v>
      </c>
      <c r="E29" s="568">
        <v>43836.1</v>
      </c>
      <c r="F29" s="568">
        <f t="shared" si="4"/>
        <v>54877.8</v>
      </c>
      <c r="G29" s="568">
        <v>13381.5</v>
      </c>
      <c r="H29" s="568">
        <v>791815.4</v>
      </c>
      <c r="I29" s="568">
        <f t="shared" si="5"/>
        <v>805196.9</v>
      </c>
      <c r="J29" s="294">
        <v>167314.5</v>
      </c>
      <c r="K29" s="294">
        <f t="shared" si="6"/>
        <v>1157351.7</v>
      </c>
      <c r="L29" s="270" t="s">
        <v>742</v>
      </c>
      <c r="N29" s="657"/>
      <c r="P29" s="657"/>
    </row>
    <row r="30" spans="1:16" ht="11.45" customHeight="1">
      <c r="A30" s="376" t="s">
        <v>743</v>
      </c>
      <c r="B30" s="562">
        <v>138377.70000000001</v>
      </c>
      <c r="C30" s="562">
        <v>0</v>
      </c>
      <c r="D30" s="562">
        <v>11043.4</v>
      </c>
      <c r="E30" s="562">
        <v>42300.7</v>
      </c>
      <c r="F30" s="562">
        <f t="shared" si="4"/>
        <v>53344.1</v>
      </c>
      <c r="G30" s="562">
        <v>13359.2</v>
      </c>
      <c r="H30" s="562">
        <v>797896.4</v>
      </c>
      <c r="I30" s="562">
        <f t="shared" si="5"/>
        <v>811255.6</v>
      </c>
      <c r="J30" s="361">
        <v>167200.79999999999</v>
      </c>
      <c r="K30" s="361">
        <f t="shared" si="6"/>
        <v>1170178.2</v>
      </c>
      <c r="L30" s="377" t="s">
        <v>743</v>
      </c>
      <c r="N30" s="657"/>
      <c r="P30" s="657"/>
    </row>
    <row r="31" spans="1:16" ht="11.45" customHeight="1">
      <c r="A31" s="211" t="s">
        <v>737</v>
      </c>
      <c r="B31" s="568">
        <v>140781.6</v>
      </c>
      <c r="C31" s="568">
        <v>0</v>
      </c>
      <c r="D31" s="568">
        <v>10970.7</v>
      </c>
      <c r="E31" s="568">
        <v>43034.1</v>
      </c>
      <c r="F31" s="568">
        <f t="shared" si="4"/>
        <v>54004.800000000003</v>
      </c>
      <c r="G31" s="568">
        <v>14776.3</v>
      </c>
      <c r="H31" s="568">
        <v>805716.8</v>
      </c>
      <c r="I31" s="568">
        <f t="shared" si="5"/>
        <v>820493.10000000009</v>
      </c>
      <c r="J31" s="294">
        <v>167945.9</v>
      </c>
      <c r="K31" s="294">
        <f t="shared" si="6"/>
        <v>1183225.4000000001</v>
      </c>
      <c r="L31" s="270" t="s">
        <v>737</v>
      </c>
      <c r="N31" s="657"/>
      <c r="P31" s="657"/>
    </row>
    <row r="32" spans="1:16" ht="11.45" customHeight="1">
      <c r="A32" s="376" t="s">
        <v>744</v>
      </c>
      <c r="B32" s="562">
        <v>147657</v>
      </c>
      <c r="C32" s="562">
        <v>0</v>
      </c>
      <c r="D32" s="562">
        <v>11396.1</v>
      </c>
      <c r="E32" s="562">
        <v>43199.9</v>
      </c>
      <c r="F32" s="562">
        <f t="shared" si="4"/>
        <v>54596</v>
      </c>
      <c r="G32" s="562">
        <v>14452.2</v>
      </c>
      <c r="H32" s="562">
        <v>813328.1</v>
      </c>
      <c r="I32" s="562">
        <f t="shared" si="5"/>
        <v>827780.29999999993</v>
      </c>
      <c r="J32" s="361">
        <v>169429.9</v>
      </c>
      <c r="K32" s="361">
        <f t="shared" si="6"/>
        <v>1199463.2</v>
      </c>
      <c r="L32" s="377" t="s">
        <v>744</v>
      </c>
      <c r="N32" s="657"/>
      <c r="P32" s="657"/>
    </row>
    <row r="33" spans="1:16" ht="11.45" customHeight="1">
      <c r="A33" s="211" t="s">
        <v>745</v>
      </c>
      <c r="B33" s="568">
        <v>153436.29999999999</v>
      </c>
      <c r="C33" s="568">
        <v>0</v>
      </c>
      <c r="D33" s="568">
        <v>11456.3</v>
      </c>
      <c r="E33" s="568">
        <v>43980.3</v>
      </c>
      <c r="F33" s="568">
        <f t="shared" si="4"/>
        <v>55436.600000000006</v>
      </c>
      <c r="G33" s="568">
        <v>15491</v>
      </c>
      <c r="H33" s="568">
        <v>820353.4</v>
      </c>
      <c r="I33" s="568">
        <f t="shared" si="5"/>
        <v>835844.4</v>
      </c>
      <c r="J33" s="294">
        <v>171485.19999999995</v>
      </c>
      <c r="K33" s="294">
        <f t="shared" si="6"/>
        <v>1216202.5</v>
      </c>
      <c r="L33" s="270" t="s">
        <v>745</v>
      </c>
      <c r="N33" s="657"/>
      <c r="P33" s="657"/>
    </row>
    <row r="34" spans="1:16" ht="11.45" customHeight="1">
      <c r="A34" s="376" t="s">
        <v>738</v>
      </c>
      <c r="B34" s="562">
        <v>156860.79999999999</v>
      </c>
      <c r="C34" s="562">
        <v>0</v>
      </c>
      <c r="D34" s="562">
        <v>11427.9</v>
      </c>
      <c r="E34" s="562">
        <v>43133.599999999999</v>
      </c>
      <c r="F34" s="562">
        <f t="shared" si="4"/>
        <v>54561.5</v>
      </c>
      <c r="G34" s="562">
        <v>19155.900000000001</v>
      </c>
      <c r="H34" s="562">
        <v>835892.1</v>
      </c>
      <c r="I34" s="562">
        <f t="shared" si="5"/>
        <v>855048</v>
      </c>
      <c r="J34" s="361">
        <v>174127.8</v>
      </c>
      <c r="K34" s="361">
        <f t="shared" si="6"/>
        <v>1240598.1000000001</v>
      </c>
      <c r="L34" s="377" t="s">
        <v>738</v>
      </c>
      <c r="N34" s="657"/>
      <c r="P34" s="657"/>
    </row>
    <row r="35" spans="1:16" ht="11.45" customHeight="1">
      <c r="A35" s="211" t="s">
        <v>746</v>
      </c>
      <c r="B35" s="568">
        <v>163255.1</v>
      </c>
      <c r="C35" s="568">
        <v>0</v>
      </c>
      <c r="D35" s="568">
        <v>11367.2</v>
      </c>
      <c r="E35" s="568">
        <v>43109.7</v>
      </c>
      <c r="F35" s="568">
        <f t="shared" si="4"/>
        <v>54476.899999999994</v>
      </c>
      <c r="G35" s="568">
        <v>18376.7</v>
      </c>
      <c r="H35" s="568">
        <v>834488.1</v>
      </c>
      <c r="I35" s="568">
        <f t="shared" si="5"/>
        <v>852864.79999999993</v>
      </c>
      <c r="J35" s="294">
        <v>174875.20000000024</v>
      </c>
      <c r="K35" s="294">
        <f t="shared" si="6"/>
        <v>1245472</v>
      </c>
      <c r="L35" s="270" t="s">
        <v>746</v>
      </c>
      <c r="N35" s="657"/>
      <c r="P35" s="657"/>
    </row>
    <row r="36" spans="1:16" ht="11.45" customHeight="1">
      <c r="A36" s="376" t="s">
        <v>747</v>
      </c>
      <c r="B36" s="562">
        <v>162241.60000000001</v>
      </c>
      <c r="C36" s="562">
        <v>0</v>
      </c>
      <c r="D36" s="562">
        <v>11366.1</v>
      </c>
      <c r="E36" s="562">
        <v>42643.7</v>
      </c>
      <c r="F36" s="562">
        <f t="shared" si="4"/>
        <v>54009.799999999996</v>
      </c>
      <c r="G36" s="562">
        <v>18664.900000000001</v>
      </c>
      <c r="H36" s="562">
        <v>839780.5</v>
      </c>
      <c r="I36" s="562">
        <f t="shared" si="5"/>
        <v>858445.4</v>
      </c>
      <c r="J36" s="361">
        <v>176477.8000000001</v>
      </c>
      <c r="K36" s="361">
        <f t="shared" si="6"/>
        <v>1251174.6000000001</v>
      </c>
      <c r="L36" s="377" t="s">
        <v>747</v>
      </c>
      <c r="N36" s="657"/>
      <c r="P36" s="657"/>
    </row>
    <row r="37" spans="1:16" ht="11.45" customHeight="1">
      <c r="A37" s="211" t="s">
        <v>739</v>
      </c>
      <c r="B37" s="568">
        <v>133765.1</v>
      </c>
      <c r="C37" s="568">
        <v>0</v>
      </c>
      <c r="D37" s="568">
        <v>11341.8</v>
      </c>
      <c r="E37" s="568">
        <v>42379.6</v>
      </c>
      <c r="F37" s="568">
        <f t="shared" si="4"/>
        <v>53721.399999999994</v>
      </c>
      <c r="G37" s="568">
        <v>18799.5</v>
      </c>
      <c r="H37" s="568">
        <v>848392.4</v>
      </c>
      <c r="I37" s="568">
        <f t="shared" si="5"/>
        <v>867191.9</v>
      </c>
      <c r="J37" s="294">
        <v>175807.5</v>
      </c>
      <c r="K37" s="294">
        <f t="shared" si="6"/>
        <v>1230485.8999999999</v>
      </c>
      <c r="L37" s="270" t="s">
        <v>739</v>
      </c>
      <c r="N37" s="657"/>
      <c r="P37" s="657"/>
    </row>
    <row r="38" spans="1:16" ht="11.45" customHeight="1">
      <c r="A38" s="376" t="s">
        <v>748</v>
      </c>
      <c r="B38" s="562">
        <v>168382</v>
      </c>
      <c r="C38" s="562">
        <v>0</v>
      </c>
      <c r="D38" s="562">
        <v>11362.1</v>
      </c>
      <c r="E38" s="562">
        <v>43322</v>
      </c>
      <c r="F38" s="562">
        <f t="shared" si="4"/>
        <v>54684.1</v>
      </c>
      <c r="G38" s="562">
        <v>18557.099999999999</v>
      </c>
      <c r="H38" s="562">
        <v>855928.5</v>
      </c>
      <c r="I38" s="562">
        <f t="shared" si="5"/>
        <v>874485.6</v>
      </c>
      <c r="J38" s="361">
        <v>175920.1</v>
      </c>
      <c r="K38" s="361">
        <f t="shared" si="6"/>
        <v>1273471.8</v>
      </c>
      <c r="L38" s="377" t="s">
        <v>748</v>
      </c>
      <c r="N38" s="657"/>
      <c r="P38" s="657"/>
    </row>
    <row r="39" spans="1:16" ht="11.45" customHeight="1">
      <c r="A39" s="211" t="s">
        <v>749</v>
      </c>
      <c r="B39" s="568">
        <v>162518</v>
      </c>
      <c r="C39" s="568">
        <v>0</v>
      </c>
      <c r="D39" s="568">
        <v>11397</v>
      </c>
      <c r="E39" s="568">
        <v>43354.2</v>
      </c>
      <c r="F39" s="568">
        <f t="shared" si="4"/>
        <v>54751.199999999997</v>
      </c>
      <c r="G39" s="568">
        <v>18454.599999999999</v>
      </c>
      <c r="H39" s="568">
        <v>869573.3</v>
      </c>
      <c r="I39" s="568">
        <f t="shared" si="5"/>
        <v>888027.9</v>
      </c>
      <c r="J39" s="294">
        <v>176630.2</v>
      </c>
      <c r="K39" s="294">
        <f t="shared" si="6"/>
        <v>1281927.3</v>
      </c>
      <c r="L39" s="270" t="s">
        <v>749</v>
      </c>
      <c r="N39" s="657"/>
      <c r="P39" s="657"/>
    </row>
    <row r="40" spans="1:16" ht="11.45" customHeight="1">
      <c r="A40" s="376" t="s">
        <v>740</v>
      </c>
      <c r="B40" s="562">
        <v>181150.7</v>
      </c>
      <c r="C40" s="562">
        <v>0</v>
      </c>
      <c r="D40" s="562">
        <v>11420.7</v>
      </c>
      <c r="E40" s="562">
        <v>43383.4</v>
      </c>
      <c r="F40" s="562">
        <f t="shared" si="4"/>
        <v>54804.100000000006</v>
      </c>
      <c r="G40" s="562">
        <v>17794.400000000001</v>
      </c>
      <c r="H40" s="562">
        <v>875826.1</v>
      </c>
      <c r="I40" s="562">
        <f t="shared" si="5"/>
        <v>893620.5</v>
      </c>
      <c r="J40" s="361">
        <v>178058.39999999991</v>
      </c>
      <c r="K40" s="361">
        <f t="shared" si="6"/>
        <v>1307633.7</v>
      </c>
      <c r="L40" s="1238" t="s">
        <v>740</v>
      </c>
      <c r="N40" s="657"/>
      <c r="P40" s="657"/>
    </row>
    <row r="41" spans="1:16" ht="11.45" customHeight="1">
      <c r="A41" s="243" t="s">
        <v>2114</v>
      </c>
      <c r="B41" s="568"/>
      <c r="C41" s="661"/>
      <c r="D41" s="661"/>
      <c r="E41" s="661"/>
      <c r="F41" s="568"/>
      <c r="G41" s="568"/>
      <c r="H41" s="568"/>
      <c r="I41" s="568"/>
      <c r="J41" s="294"/>
      <c r="K41" s="294"/>
      <c r="L41" s="1239" t="s">
        <v>2114</v>
      </c>
      <c r="N41" s="657"/>
    </row>
    <row r="42" spans="1:16" ht="11.45" customHeight="1">
      <c r="A42" s="376" t="s">
        <v>742</v>
      </c>
      <c r="B42" s="562">
        <v>196694.9</v>
      </c>
      <c r="C42" s="562">
        <v>0</v>
      </c>
      <c r="D42" s="562">
        <v>11307.1</v>
      </c>
      <c r="E42" s="562">
        <v>42537</v>
      </c>
      <c r="F42" s="562">
        <f t="shared" si="4"/>
        <v>53844.1</v>
      </c>
      <c r="G42" s="562">
        <v>19123</v>
      </c>
      <c r="H42" s="562">
        <v>933569</v>
      </c>
      <c r="I42" s="562">
        <f t="shared" si="5"/>
        <v>952692</v>
      </c>
      <c r="J42" s="361">
        <v>117723.99999999977</v>
      </c>
      <c r="K42" s="361">
        <f t="shared" si="6"/>
        <v>1320954.9999999998</v>
      </c>
      <c r="L42" s="1238" t="s">
        <v>742</v>
      </c>
      <c r="N42" s="657"/>
      <c r="O42" s="657"/>
    </row>
    <row r="43" spans="1:16" ht="11.45" customHeight="1">
      <c r="A43" s="211" t="s">
        <v>743</v>
      </c>
      <c r="B43" s="568">
        <v>195187.9</v>
      </c>
      <c r="C43" s="568">
        <v>0</v>
      </c>
      <c r="D43" s="568">
        <v>11416.8</v>
      </c>
      <c r="E43" s="568">
        <v>41794.5</v>
      </c>
      <c r="F43" s="568">
        <f t="shared" si="4"/>
        <v>53211.3</v>
      </c>
      <c r="G43" s="568">
        <v>19484.7</v>
      </c>
      <c r="H43" s="568">
        <v>939368.6</v>
      </c>
      <c r="I43" s="568">
        <f t="shared" si="5"/>
        <v>958853.29999999993</v>
      </c>
      <c r="J43" s="294">
        <v>119147.09999999986</v>
      </c>
      <c r="K43" s="294">
        <f t="shared" si="6"/>
        <v>1326399.5999999999</v>
      </c>
      <c r="L43" s="1377" t="s">
        <v>743</v>
      </c>
      <c r="N43" s="657"/>
    </row>
    <row r="44" spans="1:16" ht="11.45" customHeight="1">
      <c r="A44" s="376" t="s">
        <v>737</v>
      </c>
      <c r="B44" s="562">
        <v>190498.6</v>
      </c>
      <c r="C44" s="562">
        <v>0</v>
      </c>
      <c r="D44" s="562">
        <v>11312.5</v>
      </c>
      <c r="E44" s="562">
        <v>41540.300000000003</v>
      </c>
      <c r="F44" s="562">
        <f t="shared" si="4"/>
        <v>52852.800000000003</v>
      </c>
      <c r="G44" s="562">
        <v>18065.5</v>
      </c>
      <c r="H44" s="562">
        <v>891028.8</v>
      </c>
      <c r="I44" s="562">
        <f t="shared" si="5"/>
        <v>909094.3</v>
      </c>
      <c r="J44" s="361">
        <v>180513.2</v>
      </c>
      <c r="K44" s="361">
        <f t="shared" si="6"/>
        <v>1332958.9000000001</v>
      </c>
      <c r="L44" s="1238" t="s">
        <v>737</v>
      </c>
      <c r="N44" s="657"/>
    </row>
    <row r="45" spans="1:16" ht="11.45" customHeight="1">
      <c r="A45" s="211" t="s">
        <v>744</v>
      </c>
      <c r="B45" s="568">
        <v>191607.1</v>
      </c>
      <c r="C45" s="568">
        <v>0</v>
      </c>
      <c r="D45" s="568">
        <v>11660.6</v>
      </c>
      <c r="E45" s="568">
        <v>40976.1</v>
      </c>
      <c r="F45" s="568">
        <f t="shared" si="4"/>
        <v>52636.7</v>
      </c>
      <c r="G45" s="568">
        <v>19313.3</v>
      </c>
      <c r="H45" s="568">
        <v>950267.9</v>
      </c>
      <c r="I45" s="568">
        <f t="shared" si="5"/>
        <v>969581.20000000007</v>
      </c>
      <c r="J45" s="294">
        <v>122160.09999999977</v>
      </c>
      <c r="K45" s="294">
        <f t="shared" si="6"/>
        <v>1335985.0999999999</v>
      </c>
      <c r="L45" s="1377" t="s">
        <v>744</v>
      </c>
      <c r="N45" s="657"/>
    </row>
    <row r="46" spans="1:16" s="593" customFormat="1" ht="11.45" customHeight="1">
      <c r="A46" s="376" t="s">
        <v>745</v>
      </c>
      <c r="B46" s="562">
        <v>193146</v>
      </c>
      <c r="C46" s="562">
        <v>0</v>
      </c>
      <c r="D46" s="542">
        <v>11548.2</v>
      </c>
      <c r="E46" s="542">
        <v>40999.599999999999</v>
      </c>
      <c r="F46" s="562">
        <f t="shared" si="4"/>
        <v>52547.8</v>
      </c>
      <c r="G46" s="542">
        <v>19092.599999999999</v>
      </c>
      <c r="H46" s="542">
        <v>895984.7</v>
      </c>
      <c r="I46" s="562">
        <f t="shared" si="5"/>
        <v>915077.29999999993</v>
      </c>
      <c r="J46" s="542">
        <v>183917.7</v>
      </c>
      <c r="K46" s="542">
        <f t="shared" si="6"/>
        <v>1344688.7999999998</v>
      </c>
      <c r="L46" s="1238" t="s">
        <v>745</v>
      </c>
      <c r="N46" s="657"/>
    </row>
    <row r="47" spans="1:16" s="593" customFormat="1" ht="11.45" customHeight="1">
      <c r="A47" s="211" t="s">
        <v>738</v>
      </c>
      <c r="B47" s="568">
        <v>191282.6</v>
      </c>
      <c r="C47" s="568">
        <v>0</v>
      </c>
      <c r="D47" s="570">
        <v>11384.7</v>
      </c>
      <c r="E47" s="570">
        <v>43965.8</v>
      </c>
      <c r="F47" s="568">
        <f t="shared" si="4"/>
        <v>55350.5</v>
      </c>
      <c r="G47" s="570">
        <v>19605.2</v>
      </c>
      <c r="H47" s="568">
        <v>909875</v>
      </c>
      <c r="I47" s="568">
        <f t="shared" si="5"/>
        <v>929480.2</v>
      </c>
      <c r="J47" s="568">
        <v>187462.2</v>
      </c>
      <c r="K47" s="570">
        <f t="shared" si="6"/>
        <v>1363575.5</v>
      </c>
      <c r="L47" s="1377" t="s">
        <v>738</v>
      </c>
      <c r="N47" s="657"/>
    </row>
    <row r="48" spans="1:16" s="593" customFormat="1" ht="11.45" customHeight="1">
      <c r="A48" s="376" t="s">
        <v>746</v>
      </c>
      <c r="B48" s="562">
        <v>191361</v>
      </c>
      <c r="C48" s="562">
        <v>0</v>
      </c>
      <c r="D48" s="542">
        <v>11685.1</v>
      </c>
      <c r="E48" s="542">
        <v>43745.5</v>
      </c>
      <c r="F48" s="542">
        <f t="shared" si="4"/>
        <v>55430.6</v>
      </c>
      <c r="G48" s="542">
        <v>19355.2</v>
      </c>
      <c r="H48" s="562">
        <v>907548.2</v>
      </c>
      <c r="I48" s="562">
        <f t="shared" si="5"/>
        <v>926903.39999999991</v>
      </c>
      <c r="J48" s="562">
        <v>188729.60000000001</v>
      </c>
      <c r="K48" s="562">
        <f t="shared" si="6"/>
        <v>1362424.6</v>
      </c>
      <c r="L48" s="1238" t="s">
        <v>746</v>
      </c>
      <c r="N48" s="657"/>
    </row>
    <row r="49" spans="1:15" s="593" customFormat="1" ht="11.45" customHeight="1">
      <c r="A49" s="211" t="s">
        <v>747</v>
      </c>
      <c r="B49" s="568">
        <v>179511.5</v>
      </c>
      <c r="C49" s="568">
        <v>0</v>
      </c>
      <c r="D49" s="570">
        <v>11673.4</v>
      </c>
      <c r="E49" s="570">
        <v>44001.9</v>
      </c>
      <c r="F49" s="570">
        <f t="shared" si="4"/>
        <v>55675.3</v>
      </c>
      <c r="G49" s="570">
        <v>19808.7</v>
      </c>
      <c r="H49" s="568">
        <v>917804.8</v>
      </c>
      <c r="I49" s="568">
        <f t="shared" si="5"/>
        <v>937613.5</v>
      </c>
      <c r="J49" s="568">
        <v>191703.9</v>
      </c>
      <c r="K49" s="568">
        <f t="shared" si="6"/>
        <v>1364504.2</v>
      </c>
      <c r="L49" s="1377" t="s">
        <v>747</v>
      </c>
      <c r="N49" s="657"/>
    </row>
    <row r="50" spans="1:15" s="593" customFormat="1" ht="10.5" customHeight="1">
      <c r="A50" s="376" t="s">
        <v>739</v>
      </c>
      <c r="B50" s="562">
        <v>178911.8</v>
      </c>
      <c r="C50" s="562">
        <v>0</v>
      </c>
      <c r="D50" s="542">
        <v>11721.4</v>
      </c>
      <c r="E50" s="542">
        <v>44811.9</v>
      </c>
      <c r="F50" s="542">
        <f t="shared" si="4"/>
        <v>56533.3</v>
      </c>
      <c r="G50" s="542">
        <v>19717.2</v>
      </c>
      <c r="H50" s="562">
        <v>921088.4</v>
      </c>
      <c r="I50" s="562">
        <f t="shared" si="5"/>
        <v>940805.6</v>
      </c>
      <c r="J50" s="562">
        <v>194483</v>
      </c>
      <c r="K50" s="562">
        <f t="shared" si="6"/>
        <v>1370733.7</v>
      </c>
      <c r="L50" s="1238" t="s">
        <v>739</v>
      </c>
      <c r="N50" s="657"/>
    </row>
    <row r="51" spans="1:15" s="593" customFormat="1" ht="11.45" customHeight="1">
      <c r="A51" s="211" t="s">
        <v>748</v>
      </c>
      <c r="B51" s="568">
        <v>187168.1</v>
      </c>
      <c r="C51" s="568">
        <v>0</v>
      </c>
      <c r="D51" s="570">
        <v>11660.9</v>
      </c>
      <c r="E51" s="570">
        <v>44042.6</v>
      </c>
      <c r="F51" s="570">
        <f t="shared" si="4"/>
        <v>55703.5</v>
      </c>
      <c r="G51" s="570">
        <v>19065.900000000001</v>
      </c>
      <c r="H51" s="568">
        <v>924740.1</v>
      </c>
      <c r="I51" s="568">
        <f t="shared" si="5"/>
        <v>943806</v>
      </c>
      <c r="J51" s="568">
        <v>195554.19999999966</v>
      </c>
      <c r="K51" s="568">
        <f t="shared" si="6"/>
        <v>1382231.7999999998</v>
      </c>
      <c r="L51" s="1377" t="s">
        <v>748</v>
      </c>
      <c r="N51" s="657"/>
    </row>
    <row r="52" spans="1:15" s="593" customFormat="1" ht="11.45" customHeight="1" thickBot="1">
      <c r="A52" s="419" t="s">
        <v>749</v>
      </c>
      <c r="B52" s="1413">
        <v>197478.7</v>
      </c>
      <c r="C52" s="1413">
        <v>0</v>
      </c>
      <c r="D52" s="1576">
        <v>11734.5</v>
      </c>
      <c r="E52" s="1413">
        <v>43140</v>
      </c>
      <c r="F52" s="1576">
        <f t="shared" si="4"/>
        <v>54874.5</v>
      </c>
      <c r="G52" s="1576">
        <v>19045.5</v>
      </c>
      <c r="H52" s="1413">
        <v>932592.4</v>
      </c>
      <c r="I52" s="1413">
        <v>951637.8</v>
      </c>
      <c r="J52" s="1413">
        <v>196076.5</v>
      </c>
      <c r="K52" s="1413">
        <f t="shared" si="6"/>
        <v>1400067.5</v>
      </c>
      <c r="L52" s="1577" t="s">
        <v>749</v>
      </c>
      <c r="N52" s="657"/>
    </row>
    <row r="53" spans="1:15" s="593" customFormat="1">
      <c r="A53" s="543" t="s">
        <v>1807</v>
      </c>
      <c r="B53" s="1850" t="s">
        <v>1840</v>
      </c>
      <c r="C53" s="1850"/>
      <c r="D53" s="1850"/>
      <c r="E53" s="1850"/>
      <c r="F53" s="1850"/>
      <c r="G53" s="544" t="s">
        <v>231</v>
      </c>
      <c r="H53" s="1853" t="s">
        <v>1635</v>
      </c>
      <c r="I53" s="1853"/>
      <c r="J53" s="1853"/>
      <c r="K53" s="1853"/>
      <c r="L53" s="1853"/>
    </row>
    <row r="54" spans="1:15">
      <c r="A54" s="285"/>
      <c r="B54" s="1850" t="s">
        <v>2692</v>
      </c>
      <c r="C54" s="1850"/>
      <c r="D54" s="1850"/>
      <c r="E54" s="1850"/>
      <c r="F54" s="1850"/>
      <c r="J54" s="285"/>
      <c r="K54" s="811"/>
      <c r="L54" s="285"/>
      <c r="M54" s="657"/>
      <c r="N54" s="657"/>
      <c r="O54" s="657"/>
    </row>
    <row r="55" spans="1:15">
      <c r="A55" s="593"/>
      <c r="B55" s="593"/>
      <c r="C55" s="593"/>
      <c r="D55" s="593"/>
      <c r="E55" s="593"/>
      <c r="F55" s="593"/>
      <c r="G55" s="593"/>
      <c r="H55" s="593"/>
      <c r="I55" s="593"/>
      <c r="J55" s="593"/>
      <c r="K55" s="593"/>
      <c r="M55" s="657"/>
      <c r="N55" s="657"/>
    </row>
    <row r="56" spans="1:15">
      <c r="C56" s="657"/>
      <c r="J56" s="657"/>
      <c r="K56" s="657"/>
      <c r="M56" s="657"/>
      <c r="N56" s="657"/>
    </row>
    <row r="57" spans="1:15">
      <c r="B57" s="657"/>
      <c r="C57" s="657"/>
      <c r="D57" s="657"/>
      <c r="E57" s="657"/>
      <c r="F57" s="657"/>
      <c r="G57" s="657"/>
    </row>
    <row r="58" spans="1:15">
      <c r="B58" s="657"/>
      <c r="E58" s="657"/>
      <c r="F58" s="657"/>
      <c r="G58" s="657"/>
    </row>
    <row r="59" spans="1:15">
      <c r="B59" s="657"/>
      <c r="D59" s="657"/>
      <c r="E59" s="657"/>
      <c r="F59" s="657"/>
    </row>
    <row r="60" spans="1:15">
      <c r="B60" s="657"/>
      <c r="C60" s="657"/>
      <c r="E60" s="657"/>
      <c r="M60" s="657"/>
      <c r="N60" s="657"/>
      <c r="O60" s="657"/>
    </row>
    <row r="61" spans="1:15" hidden="1">
      <c r="A61" s="536">
        <v>197478.7</v>
      </c>
      <c r="C61" s="657"/>
      <c r="E61" s="657"/>
      <c r="N61" s="657"/>
    </row>
    <row r="62" spans="1:15" hidden="1">
      <c r="D62" s="657"/>
      <c r="E62" s="657"/>
      <c r="F62" s="657"/>
      <c r="G62" s="657"/>
      <c r="H62" s="657"/>
      <c r="I62" s="657"/>
      <c r="J62" s="657"/>
    </row>
    <row r="63" spans="1:15" hidden="1">
      <c r="D63" s="657"/>
      <c r="E63" s="657"/>
      <c r="F63" s="657"/>
      <c r="G63" s="657"/>
      <c r="H63" s="657"/>
      <c r="I63" s="657"/>
      <c r="J63" s="657"/>
    </row>
    <row r="64" spans="1:15" hidden="1">
      <c r="D64" s="657"/>
      <c r="E64" s="657"/>
      <c r="F64" s="657"/>
      <c r="G64" s="657"/>
      <c r="H64" s="657"/>
      <c r="I64" s="657"/>
      <c r="J64" s="657"/>
    </row>
    <row r="65" spans="4:11" hidden="1">
      <c r="D65" s="657"/>
      <c r="E65" s="657"/>
      <c r="F65" s="657"/>
      <c r="G65" s="657"/>
      <c r="H65" s="657"/>
      <c r="I65" s="657"/>
      <c r="J65" s="657"/>
    </row>
    <row r="66" spans="4:11" hidden="1">
      <c r="D66" s="657"/>
      <c r="E66" s="657"/>
      <c r="F66" s="657"/>
      <c r="G66" s="657"/>
      <c r="H66" s="657"/>
      <c r="I66" s="657"/>
      <c r="J66" s="657"/>
    </row>
    <row r="67" spans="4:11" hidden="1">
      <c r="D67" s="657"/>
      <c r="E67" s="657"/>
      <c r="F67" s="657"/>
      <c r="G67" s="657"/>
      <c r="H67" s="657"/>
      <c r="I67" s="657"/>
    </row>
    <row r="68" spans="4:11">
      <c r="D68" s="657"/>
      <c r="E68" s="657"/>
      <c r="F68" s="657"/>
      <c r="G68" s="657"/>
      <c r="H68" s="657"/>
      <c r="I68" s="657"/>
    </row>
    <row r="69" spans="4:11">
      <c r="D69" s="657"/>
      <c r="E69" s="657"/>
      <c r="F69" s="657"/>
      <c r="G69" s="657"/>
      <c r="H69" s="657"/>
      <c r="I69" s="657"/>
      <c r="J69" s="657"/>
      <c r="K69" s="657"/>
    </row>
    <row r="70" spans="4:11">
      <c r="D70" s="657"/>
      <c r="E70" s="657"/>
      <c r="F70" s="657"/>
      <c r="G70" s="657"/>
      <c r="H70" s="657"/>
      <c r="I70" s="657"/>
      <c r="J70" s="657"/>
    </row>
    <row r="71" spans="4:11">
      <c r="D71" s="657"/>
      <c r="E71" s="657"/>
      <c r="F71" s="657"/>
      <c r="G71" s="657"/>
      <c r="H71" s="657"/>
      <c r="I71" s="657"/>
      <c r="J71" s="657"/>
    </row>
    <row r="72" spans="4:11">
      <c r="D72" s="657"/>
      <c r="E72" s="657"/>
      <c r="F72" s="657"/>
      <c r="G72" s="657"/>
      <c r="H72" s="657"/>
      <c r="I72" s="657"/>
      <c r="J72" s="657"/>
    </row>
  </sheetData>
  <mergeCells count="15">
    <mergeCell ref="A3:A5"/>
    <mergeCell ref="J3:J4"/>
    <mergeCell ref="B54:F54"/>
    <mergeCell ref="B53:F53"/>
    <mergeCell ref="B3:B4"/>
    <mergeCell ref="C3:C4"/>
    <mergeCell ref="H53:L53"/>
    <mergeCell ref="D1:F1"/>
    <mergeCell ref="D3:F3"/>
    <mergeCell ref="G3:I3"/>
    <mergeCell ref="L3:L5"/>
    <mergeCell ref="G1:I1"/>
    <mergeCell ref="K2:L2"/>
    <mergeCell ref="K1:L1"/>
    <mergeCell ref="K3:K4"/>
  </mergeCells>
  <phoneticPr fontId="4" type="noConversion"/>
  <conditionalFormatting sqref="V12:X14 AI12:AK14 AV12:AX14 BI12:BK14 BV12:BX14 CI12:CK14 CV12:CX14 DI12:DK14 DV12:DX14 EI12:EK14 EV12:EX14 FI12:FK14 FV12:FX14 GI12:GK14 GV12:GX14 HI12:HK14 HV12:HX14 L8:L12 B8:K10 A8:A12 A6:L7">
    <cfRule type="expression" dxfId="8" priority="55" stopIfTrue="1">
      <formula>MOD(ROW(),2)=0</formula>
    </cfRule>
  </conditionalFormatting>
  <pageMargins left="0.62992125984252001" right="0.511811023622047" top="0.511811023622047" bottom="0.511811023622047" header="0" footer="0.183070866"/>
  <pageSetup paperSize="448" firstPageNumber="14" orientation="portrait" useFirstPageNumber="1" r:id="rId1"/>
  <headerFooter alignWithMargins="0">
    <oddFooter>&amp;C&amp;"Times New Roman,Regular"&amp;8&amp;P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K82"/>
  <sheetViews>
    <sheetView zoomScale="180" zoomScaleNormal="180" workbookViewId="0">
      <pane xSplit="1" ySplit="7" topLeftCell="B50" activePane="bottomRight" state="frozen"/>
      <selection activeCell="F85" sqref="F85"/>
      <selection pane="topRight" activeCell="F85" sqref="F85"/>
      <selection pane="bottomLeft" activeCell="F85" sqref="F85"/>
      <selection pane="bottomRight" activeCell="G52" sqref="G52:G54"/>
    </sheetView>
  </sheetViews>
  <sheetFormatPr defaultColWidth="9.140625" defaultRowHeight="11.25"/>
  <cols>
    <col min="1" max="1" width="9.7109375" style="8" customWidth="1"/>
    <col min="2" max="2" width="11.140625" style="8" customWidth="1"/>
    <col min="3" max="3" width="10.7109375" style="8" customWidth="1"/>
    <col min="4" max="4" width="10.5703125" style="8" customWidth="1"/>
    <col min="5" max="5" width="10.7109375" style="8" customWidth="1"/>
    <col min="6" max="6" width="11.140625" style="8" customWidth="1"/>
    <col min="7" max="7" width="14.140625" style="8" customWidth="1"/>
    <col min="8" max="8" width="9.140625" style="8" customWidth="1"/>
    <col min="9" max="16384" width="9.140625" style="8"/>
  </cols>
  <sheetData>
    <row r="1" spans="1:9" s="42" customFormat="1" ht="15.75" customHeight="1">
      <c r="A1" s="1786" t="s">
        <v>1670</v>
      </c>
      <c r="B1" s="1786"/>
      <c r="C1" s="1786"/>
      <c r="D1" s="1786"/>
      <c r="E1" s="1786"/>
      <c r="F1" s="1786" t="s">
        <v>239</v>
      </c>
      <c r="G1" s="1786"/>
    </row>
    <row r="2" spans="1:9" s="49" customFormat="1" ht="12">
      <c r="F2" s="1755" t="s">
        <v>25</v>
      </c>
      <c r="G2" s="1859"/>
    </row>
    <row r="3" spans="1:9" s="480" customFormat="1" ht="15" customHeight="1">
      <c r="A3" s="1856" t="s">
        <v>1198</v>
      </c>
      <c r="B3" s="1783" t="s">
        <v>1108</v>
      </c>
      <c r="C3" s="1783" t="s">
        <v>246</v>
      </c>
      <c r="D3" s="1854" t="s">
        <v>237</v>
      </c>
      <c r="E3" s="1855"/>
      <c r="F3" s="1855"/>
      <c r="G3" s="1783" t="s">
        <v>1084</v>
      </c>
    </row>
    <row r="4" spans="1:9" s="480" customFormat="1" ht="12.75" customHeight="1">
      <c r="A4" s="1723"/>
      <c r="B4" s="1766"/>
      <c r="C4" s="1858"/>
      <c r="D4" s="1843" t="s">
        <v>238</v>
      </c>
      <c r="E4" s="1844"/>
      <c r="F4" s="1784" t="s">
        <v>1612</v>
      </c>
      <c r="G4" s="1766"/>
    </row>
    <row r="5" spans="1:9" s="220" customFormat="1" ht="19.5" customHeight="1">
      <c r="A5" s="1723"/>
      <c r="B5" s="1766"/>
      <c r="C5" s="1858"/>
      <c r="D5" s="1783" t="s">
        <v>1041</v>
      </c>
      <c r="E5" s="1783" t="s">
        <v>236</v>
      </c>
      <c r="F5" s="1860"/>
      <c r="G5" s="1766"/>
    </row>
    <row r="6" spans="1:9" s="220" customFormat="1" ht="14.25" customHeight="1">
      <c r="A6" s="1723"/>
      <c r="B6" s="1721"/>
      <c r="C6" s="1857"/>
      <c r="D6" s="1721"/>
      <c r="E6" s="1857"/>
      <c r="F6" s="1751"/>
      <c r="G6" s="1721"/>
    </row>
    <row r="7" spans="1:9" s="22" customFormat="1" ht="10.5" customHeight="1">
      <c r="A7" s="1724"/>
      <c r="B7" s="21">
        <v>1</v>
      </c>
      <c r="C7" s="21">
        <v>2</v>
      </c>
      <c r="D7" s="21">
        <v>3</v>
      </c>
      <c r="E7" s="21">
        <v>4</v>
      </c>
      <c r="F7" s="21">
        <v>5</v>
      </c>
      <c r="G7" s="21">
        <v>6</v>
      </c>
    </row>
    <row r="8" spans="1:9" ht="11.1" customHeight="1">
      <c r="A8" s="9" t="s">
        <v>83</v>
      </c>
      <c r="B8" s="288">
        <v>46157.1</v>
      </c>
      <c r="C8" s="288">
        <v>4308.3</v>
      </c>
      <c r="D8" s="288">
        <v>23468</v>
      </c>
      <c r="E8" s="288">
        <v>6367.5</v>
      </c>
      <c r="F8" s="288">
        <v>209.4</v>
      </c>
      <c r="G8" s="288">
        <f>B8+C8+D8+F8</f>
        <v>74142.799999999988</v>
      </c>
      <c r="H8" s="48"/>
      <c r="I8" s="48"/>
    </row>
    <row r="9" spans="1:9" ht="11.1" customHeight="1">
      <c r="A9" s="376" t="s">
        <v>225</v>
      </c>
      <c r="B9" s="361">
        <v>54795.1</v>
      </c>
      <c r="C9" s="361">
        <v>5731.8</v>
      </c>
      <c r="D9" s="361">
        <v>29007.7</v>
      </c>
      <c r="E9" s="361">
        <v>7766.5</v>
      </c>
      <c r="F9" s="361">
        <v>199.8</v>
      </c>
      <c r="G9" s="361">
        <v>89734.400000000009</v>
      </c>
      <c r="H9" s="48"/>
      <c r="I9" s="48"/>
    </row>
    <row r="10" spans="1:9" s="213" customFormat="1" ht="11.1" customHeight="1">
      <c r="A10" s="211" t="s">
        <v>972</v>
      </c>
      <c r="B10" s="294">
        <v>58417.1</v>
      </c>
      <c r="C10" s="294">
        <v>6479.4</v>
      </c>
      <c r="D10" s="294">
        <v>32662.3</v>
      </c>
      <c r="E10" s="294">
        <v>10289.9</v>
      </c>
      <c r="F10" s="294">
        <v>243.9</v>
      </c>
      <c r="G10" s="294">
        <v>97802.7</v>
      </c>
      <c r="H10" s="211"/>
      <c r="I10" s="48"/>
    </row>
    <row r="11" spans="1:9" s="213" customFormat="1" ht="11.1" customHeight="1">
      <c r="A11" s="359" t="s">
        <v>1107</v>
      </c>
      <c r="B11" s="361">
        <v>67552.899999999994</v>
      </c>
      <c r="C11" s="361">
        <v>7819.4</v>
      </c>
      <c r="D11" s="361">
        <v>36803.4</v>
      </c>
      <c r="E11" s="361">
        <v>8422.6</v>
      </c>
      <c r="F11" s="361">
        <v>313.70000000000005</v>
      </c>
      <c r="G11" s="361">
        <v>112489.39999999998</v>
      </c>
      <c r="H11" s="211"/>
      <c r="I11" s="48"/>
    </row>
    <row r="12" spans="1:9" s="741" customFormat="1" ht="11.1" customHeight="1">
      <c r="A12" s="622" t="s">
        <v>1347</v>
      </c>
      <c r="B12" s="294">
        <v>76908.399999999994</v>
      </c>
      <c r="C12" s="294">
        <v>8576.7999999999993</v>
      </c>
      <c r="D12" s="294">
        <v>43997.7</v>
      </c>
      <c r="E12" s="294">
        <v>7480.2</v>
      </c>
      <c r="F12" s="294">
        <v>392.4</v>
      </c>
      <c r="G12" s="294">
        <v>129875.29999999999</v>
      </c>
      <c r="H12" s="587"/>
      <c r="I12" s="739"/>
    </row>
    <row r="13" spans="1:9" s="741" customFormat="1" ht="11.1" customHeight="1">
      <c r="A13" s="369" t="s">
        <v>1406</v>
      </c>
      <c r="B13" s="562">
        <v>87940.800000000003</v>
      </c>
      <c r="C13" s="562">
        <v>10213.1</v>
      </c>
      <c r="D13" s="562">
        <v>49838.9</v>
      </c>
      <c r="E13" s="562">
        <v>7889.3</v>
      </c>
      <c r="F13" s="562">
        <v>489.7</v>
      </c>
      <c r="G13" s="562">
        <v>148482.50000000003</v>
      </c>
      <c r="H13" s="587"/>
      <c r="I13" s="69"/>
    </row>
    <row r="14" spans="1:9" s="547" customFormat="1" ht="11.1" customHeight="1">
      <c r="A14" s="292" t="s">
        <v>1560</v>
      </c>
      <c r="B14" s="568">
        <v>122074.5</v>
      </c>
      <c r="C14" s="568">
        <v>10230.700000000001</v>
      </c>
      <c r="D14" s="568">
        <v>60299</v>
      </c>
      <c r="E14" s="568">
        <v>7133.4</v>
      </c>
      <c r="F14" s="568">
        <v>597.1</v>
      </c>
      <c r="G14" s="568">
        <v>193201.30000000002</v>
      </c>
      <c r="H14" s="546"/>
      <c r="I14" s="294"/>
    </row>
    <row r="15" spans="1:9" s="547" customFormat="1" ht="11.1" customHeight="1">
      <c r="A15" s="359" t="s">
        <v>1596</v>
      </c>
      <c r="B15" s="562">
        <v>137531.79999999999</v>
      </c>
      <c r="C15" s="562">
        <v>13733.4</v>
      </c>
      <c r="D15" s="562">
        <v>72732.7</v>
      </c>
      <c r="E15" s="562">
        <v>8987.9</v>
      </c>
      <c r="F15" s="562">
        <v>661.5</v>
      </c>
      <c r="G15" s="562">
        <v>224659.39999999997</v>
      </c>
      <c r="H15" s="546"/>
      <c r="I15" s="294"/>
    </row>
    <row r="16" spans="1:9" s="547" customFormat="1" ht="11.1" customHeight="1">
      <c r="A16" s="613" t="s">
        <v>1756</v>
      </c>
      <c r="B16" s="688">
        <v>140917.5</v>
      </c>
      <c r="C16" s="688">
        <v>14023</v>
      </c>
      <c r="D16" s="688">
        <v>78043.399999999994</v>
      </c>
      <c r="E16" s="688">
        <v>10474.5</v>
      </c>
      <c r="F16" s="688">
        <v>759.1</v>
      </c>
      <c r="G16" s="688">
        <v>233743</v>
      </c>
      <c r="H16" s="546"/>
      <c r="I16" s="294"/>
    </row>
    <row r="17" spans="1:11" s="211" customFormat="1" ht="11.1" customHeight="1">
      <c r="A17" s="449" t="s">
        <v>1904</v>
      </c>
      <c r="B17" s="691">
        <f t="shared" ref="B17:G17" si="0">B29</f>
        <v>154287</v>
      </c>
      <c r="C17" s="691">
        <f t="shared" si="0"/>
        <v>16100.1</v>
      </c>
      <c r="D17" s="691">
        <f t="shared" si="0"/>
        <v>75012.100000000006</v>
      </c>
      <c r="E17" s="691">
        <f t="shared" si="0"/>
        <v>11315.3</v>
      </c>
      <c r="F17" s="691">
        <f t="shared" si="0"/>
        <v>788.5</v>
      </c>
      <c r="G17" s="691">
        <f t="shared" si="0"/>
        <v>246187.7</v>
      </c>
    </row>
    <row r="18" spans="1:11" s="9" customFormat="1" ht="11.1" customHeight="1">
      <c r="A18" s="322" t="s">
        <v>742</v>
      </c>
      <c r="B18" s="568">
        <v>137702.29999999999</v>
      </c>
      <c r="C18" s="568">
        <v>13317.5</v>
      </c>
      <c r="D18" s="568">
        <v>69416.600000000006</v>
      </c>
      <c r="E18" s="568">
        <v>9843.1</v>
      </c>
      <c r="F18" s="568">
        <v>831.5</v>
      </c>
      <c r="G18" s="568">
        <f t="shared" ref="G18:G54" si="1">B18+C18+D18+F18</f>
        <v>221267.9</v>
      </c>
    </row>
    <row r="19" spans="1:11" s="9" customFormat="1" ht="11.1" customHeight="1">
      <c r="A19" s="399" t="s">
        <v>743</v>
      </c>
      <c r="B19" s="562">
        <v>153394.6</v>
      </c>
      <c r="C19" s="562">
        <v>14192.1</v>
      </c>
      <c r="D19" s="562">
        <v>66040.5</v>
      </c>
      <c r="E19" s="562">
        <v>11830.2</v>
      </c>
      <c r="F19" s="562">
        <v>743.6</v>
      </c>
      <c r="G19" s="562">
        <f t="shared" si="1"/>
        <v>234370.80000000002</v>
      </c>
    </row>
    <row r="20" spans="1:11" s="9" customFormat="1" ht="11.1" customHeight="1">
      <c r="A20" s="322" t="s">
        <v>737</v>
      </c>
      <c r="B20" s="568">
        <v>141018.9</v>
      </c>
      <c r="C20" s="568">
        <v>14502.5</v>
      </c>
      <c r="D20" s="568">
        <v>72210.8</v>
      </c>
      <c r="E20" s="568">
        <v>9259.9</v>
      </c>
      <c r="F20" s="568">
        <v>755</v>
      </c>
      <c r="G20" s="568">
        <f t="shared" si="1"/>
        <v>228487.2</v>
      </c>
    </row>
    <row r="21" spans="1:11" s="9" customFormat="1" ht="11.1" customHeight="1">
      <c r="A21" s="399" t="s">
        <v>744</v>
      </c>
      <c r="B21" s="562">
        <v>139078.1</v>
      </c>
      <c r="C21" s="562">
        <v>13346.1</v>
      </c>
      <c r="D21" s="562">
        <v>74979.7</v>
      </c>
      <c r="E21" s="562">
        <v>7573.2</v>
      </c>
      <c r="F21" s="562">
        <v>714.3</v>
      </c>
      <c r="G21" s="562">
        <f t="shared" si="1"/>
        <v>228118.2</v>
      </c>
    </row>
    <row r="22" spans="1:11" s="9" customFormat="1" ht="11.1" customHeight="1">
      <c r="A22" s="322" t="s">
        <v>745</v>
      </c>
      <c r="B22" s="568">
        <v>139109.20000000001</v>
      </c>
      <c r="C22" s="568">
        <v>13162.8</v>
      </c>
      <c r="D22" s="568">
        <v>72352</v>
      </c>
      <c r="E22" s="568">
        <v>7863.8</v>
      </c>
      <c r="F22" s="568">
        <v>703.6</v>
      </c>
      <c r="G22" s="568">
        <f t="shared" si="1"/>
        <v>225327.6</v>
      </c>
    </row>
    <row r="23" spans="1:11" s="9" customFormat="1" ht="11.1" customHeight="1">
      <c r="A23" s="399" t="s">
        <v>738</v>
      </c>
      <c r="B23" s="562">
        <v>144679.1</v>
      </c>
      <c r="C23" s="562">
        <v>13681.9</v>
      </c>
      <c r="D23" s="562">
        <v>75596.3</v>
      </c>
      <c r="E23" s="562">
        <v>9413.4</v>
      </c>
      <c r="F23" s="562">
        <v>700.6</v>
      </c>
      <c r="G23" s="562">
        <f t="shared" si="1"/>
        <v>234657.9</v>
      </c>
    </row>
    <row r="24" spans="1:11" s="9" customFormat="1" ht="11.1" customHeight="1">
      <c r="A24" s="322" t="s">
        <v>746</v>
      </c>
      <c r="B24" s="568">
        <v>144681.70000000001</v>
      </c>
      <c r="C24" s="568">
        <v>12674.1</v>
      </c>
      <c r="D24" s="568">
        <v>69935.199999999997</v>
      </c>
      <c r="E24" s="568">
        <v>7923.8</v>
      </c>
      <c r="F24" s="568">
        <v>736.6</v>
      </c>
      <c r="G24" s="568">
        <f t="shared" si="1"/>
        <v>228027.6</v>
      </c>
    </row>
    <row r="25" spans="1:11" s="9" customFormat="1" ht="11.1" customHeight="1">
      <c r="A25" s="399" t="s">
        <v>747</v>
      </c>
      <c r="B25" s="562">
        <v>145963</v>
      </c>
      <c r="C25" s="562">
        <v>12972.6</v>
      </c>
      <c r="D25" s="562">
        <v>67134</v>
      </c>
      <c r="E25" s="562">
        <v>9931.4</v>
      </c>
      <c r="F25" s="562">
        <v>673</v>
      </c>
      <c r="G25" s="562">
        <f t="shared" si="1"/>
        <v>226742.6</v>
      </c>
    </row>
    <row r="26" spans="1:11" s="9" customFormat="1" ht="11.1" customHeight="1">
      <c r="A26" s="322" t="s">
        <v>739</v>
      </c>
      <c r="B26" s="568">
        <v>144646.5</v>
      </c>
      <c r="C26" s="568">
        <v>14853.8</v>
      </c>
      <c r="D26" s="568">
        <v>64863.3</v>
      </c>
      <c r="E26" s="568">
        <v>12151.1</v>
      </c>
      <c r="F26" s="568">
        <v>726.7</v>
      </c>
      <c r="G26" s="568">
        <f t="shared" si="1"/>
        <v>225090.3</v>
      </c>
    </row>
    <row r="27" spans="1:11" s="9" customFormat="1" ht="11.1" customHeight="1">
      <c r="A27" s="399" t="s">
        <v>748</v>
      </c>
      <c r="B27" s="562">
        <v>144759</v>
      </c>
      <c r="C27" s="562">
        <v>14032</v>
      </c>
      <c r="D27" s="562">
        <v>67496.600000000006</v>
      </c>
      <c r="E27" s="562">
        <v>10726.7</v>
      </c>
      <c r="F27" s="562">
        <v>703.7</v>
      </c>
      <c r="G27" s="562">
        <f t="shared" si="1"/>
        <v>226991.30000000002</v>
      </c>
    </row>
    <row r="28" spans="1:11" s="211" customFormat="1" ht="11.1" customHeight="1">
      <c r="A28" s="322" t="s">
        <v>749</v>
      </c>
      <c r="B28" s="568">
        <v>164604.29999999999</v>
      </c>
      <c r="C28" s="568">
        <v>15161.7</v>
      </c>
      <c r="D28" s="568">
        <v>65190</v>
      </c>
      <c r="E28" s="568">
        <v>10206.200000000001</v>
      </c>
      <c r="F28" s="568">
        <v>716.2</v>
      </c>
      <c r="G28" s="568">
        <f t="shared" si="1"/>
        <v>245672.2</v>
      </c>
    </row>
    <row r="29" spans="1:11" s="211" customFormat="1" ht="11.1" customHeight="1">
      <c r="A29" s="399" t="s">
        <v>740</v>
      </c>
      <c r="B29" s="562">
        <v>154287</v>
      </c>
      <c r="C29" s="562">
        <v>16100.1</v>
      </c>
      <c r="D29" s="562">
        <v>75012.100000000006</v>
      </c>
      <c r="E29" s="562">
        <v>11315.3</v>
      </c>
      <c r="F29" s="562">
        <v>788.5</v>
      </c>
      <c r="G29" s="562">
        <f t="shared" si="1"/>
        <v>246187.7</v>
      </c>
      <c r="J29" s="324"/>
    </row>
    <row r="30" spans="1:11" s="211" customFormat="1" ht="11.1" customHeight="1">
      <c r="A30" s="243" t="s">
        <v>2017</v>
      </c>
      <c r="B30" s="688">
        <f t="shared" ref="B30:G30" si="2">B42</f>
        <v>192114.5</v>
      </c>
      <c r="C30" s="688">
        <f t="shared" si="2"/>
        <v>15979.6</v>
      </c>
      <c r="D30" s="688">
        <f t="shared" si="2"/>
        <v>75768.3</v>
      </c>
      <c r="E30" s="688">
        <f t="shared" si="2"/>
        <v>16308.2</v>
      </c>
      <c r="F30" s="688">
        <f t="shared" si="2"/>
        <v>621</v>
      </c>
      <c r="G30" s="688">
        <f t="shared" si="2"/>
        <v>284483.40000000002</v>
      </c>
    </row>
    <row r="31" spans="1:11" s="211" customFormat="1" ht="11.1" customHeight="1">
      <c r="A31" s="376" t="s">
        <v>742</v>
      </c>
      <c r="B31" s="562">
        <v>157831.1</v>
      </c>
      <c r="C31" s="562">
        <v>14597.1</v>
      </c>
      <c r="D31" s="562">
        <v>70408.7</v>
      </c>
      <c r="E31" s="562">
        <v>10931.9</v>
      </c>
      <c r="F31" s="562">
        <v>716.7</v>
      </c>
      <c r="G31" s="562">
        <f t="shared" si="1"/>
        <v>243553.60000000003</v>
      </c>
      <c r="K31" s="996"/>
    </row>
    <row r="32" spans="1:11" s="211" customFormat="1" ht="11.1" customHeight="1">
      <c r="A32" s="211" t="s">
        <v>743</v>
      </c>
      <c r="B32" s="568">
        <v>165170.6</v>
      </c>
      <c r="C32" s="568">
        <v>14990.9</v>
      </c>
      <c r="D32" s="568">
        <v>70511.7</v>
      </c>
      <c r="E32" s="568">
        <v>12501.9</v>
      </c>
      <c r="F32" s="568">
        <v>714.8</v>
      </c>
      <c r="G32" s="568">
        <f t="shared" si="1"/>
        <v>251388</v>
      </c>
    </row>
    <row r="33" spans="1:11" s="211" customFormat="1" ht="11.1" customHeight="1">
      <c r="A33" s="376" t="s">
        <v>737</v>
      </c>
      <c r="B33" s="562">
        <v>157907.69999999998</v>
      </c>
      <c r="C33" s="562">
        <v>16039.1</v>
      </c>
      <c r="D33" s="562">
        <v>72508.3</v>
      </c>
      <c r="E33" s="562">
        <v>10441.299999999999</v>
      </c>
      <c r="F33" s="562">
        <v>732.9</v>
      </c>
      <c r="G33" s="562">
        <f t="shared" si="1"/>
        <v>247187.99999999997</v>
      </c>
    </row>
    <row r="34" spans="1:11" s="211" customFormat="1" ht="11.1" customHeight="1">
      <c r="A34" s="211" t="s">
        <v>744</v>
      </c>
      <c r="B34" s="568">
        <v>154827.70000000001</v>
      </c>
      <c r="C34" s="568">
        <v>13917.4</v>
      </c>
      <c r="D34" s="568">
        <v>81567.7</v>
      </c>
      <c r="E34" s="568">
        <v>10081.5</v>
      </c>
      <c r="F34" s="568">
        <v>725.1</v>
      </c>
      <c r="G34" s="568">
        <f t="shared" si="1"/>
        <v>251037.9</v>
      </c>
    </row>
    <row r="35" spans="1:11" s="211" customFormat="1" ht="11.1" customHeight="1">
      <c r="A35" s="376" t="s">
        <v>745</v>
      </c>
      <c r="B35" s="562">
        <v>155253.6</v>
      </c>
      <c r="C35" s="562">
        <v>13746.7</v>
      </c>
      <c r="D35" s="562">
        <v>76451.100000000006</v>
      </c>
      <c r="E35" s="562">
        <v>10123.200000000001</v>
      </c>
      <c r="F35" s="562">
        <v>735.5</v>
      </c>
      <c r="G35" s="562">
        <f t="shared" si="1"/>
        <v>246186.90000000002</v>
      </c>
    </row>
    <row r="36" spans="1:11" s="211" customFormat="1" ht="11.1" customHeight="1">
      <c r="A36" s="211" t="s">
        <v>738</v>
      </c>
      <c r="B36" s="568">
        <v>156583</v>
      </c>
      <c r="C36" s="568">
        <v>15348.5</v>
      </c>
      <c r="D36" s="568">
        <v>78107.899999999994</v>
      </c>
      <c r="E36" s="568">
        <v>11637.1</v>
      </c>
      <c r="F36" s="568">
        <v>872.5</v>
      </c>
      <c r="G36" s="568">
        <f t="shared" si="1"/>
        <v>250911.9</v>
      </c>
    </row>
    <row r="37" spans="1:11" s="211" customFormat="1" ht="11.1" customHeight="1">
      <c r="A37" s="376" t="s">
        <v>746</v>
      </c>
      <c r="B37" s="562">
        <v>158917.6</v>
      </c>
      <c r="C37" s="562">
        <v>14434.7</v>
      </c>
      <c r="D37" s="562">
        <v>75102.600000000006</v>
      </c>
      <c r="E37" s="562">
        <v>12254.8</v>
      </c>
      <c r="F37" s="562">
        <v>746.7</v>
      </c>
      <c r="G37" s="562">
        <f t="shared" si="1"/>
        <v>249201.60000000003</v>
      </c>
      <c r="I37" s="996"/>
      <c r="K37" s="996"/>
    </row>
    <row r="38" spans="1:11" s="211" customFormat="1" ht="11.1" customHeight="1">
      <c r="A38" s="211" t="s">
        <v>747</v>
      </c>
      <c r="B38" s="568">
        <v>161820.5</v>
      </c>
      <c r="C38" s="568">
        <v>13402.1</v>
      </c>
      <c r="D38" s="568">
        <v>74986.5</v>
      </c>
      <c r="E38" s="568">
        <v>12539.4</v>
      </c>
      <c r="F38" s="568">
        <v>779.5</v>
      </c>
      <c r="G38" s="568">
        <f t="shared" si="1"/>
        <v>250988.6</v>
      </c>
      <c r="I38" s="996"/>
    </row>
    <row r="39" spans="1:11" s="211" customFormat="1" ht="11.1" customHeight="1">
      <c r="A39" s="376" t="s">
        <v>739</v>
      </c>
      <c r="B39" s="562">
        <v>173347.6</v>
      </c>
      <c r="C39" s="562">
        <v>18559.2</v>
      </c>
      <c r="D39" s="562">
        <v>80106.899999999994</v>
      </c>
      <c r="E39" s="562">
        <v>13401.4</v>
      </c>
      <c r="F39" s="562">
        <v>903.8</v>
      </c>
      <c r="G39" s="562">
        <f t="shared" si="1"/>
        <v>272917.5</v>
      </c>
      <c r="I39" s="996"/>
    </row>
    <row r="40" spans="1:11" s="211" customFormat="1" ht="11.1" customHeight="1">
      <c r="A40" s="211" t="s">
        <v>748</v>
      </c>
      <c r="B40" s="568">
        <v>177621.5</v>
      </c>
      <c r="C40" s="568">
        <v>16085</v>
      </c>
      <c r="D40" s="568">
        <v>61727.8</v>
      </c>
      <c r="E40" s="568">
        <v>15165.5</v>
      </c>
      <c r="F40" s="568">
        <v>897.69999999999993</v>
      </c>
      <c r="G40" s="568">
        <f t="shared" si="1"/>
        <v>256332</v>
      </c>
      <c r="I40" s="996"/>
    </row>
    <row r="41" spans="1:11" s="211" customFormat="1" ht="11.1" customHeight="1">
      <c r="A41" s="376" t="s">
        <v>749</v>
      </c>
      <c r="B41" s="562">
        <v>193750.7</v>
      </c>
      <c r="C41" s="562">
        <v>17356.900000000001</v>
      </c>
      <c r="D41" s="562">
        <v>58346.1</v>
      </c>
      <c r="E41" s="562">
        <v>16579.900000000001</v>
      </c>
      <c r="F41" s="562">
        <v>784.8</v>
      </c>
      <c r="G41" s="562">
        <f t="shared" si="1"/>
        <v>270238.5</v>
      </c>
      <c r="I41" s="996"/>
    </row>
    <row r="42" spans="1:11" s="211" customFormat="1" ht="11.1" customHeight="1">
      <c r="A42" s="211" t="s">
        <v>740</v>
      </c>
      <c r="B42" s="568">
        <v>192114.5</v>
      </c>
      <c r="C42" s="568">
        <v>15979.6</v>
      </c>
      <c r="D42" s="568">
        <v>75768.3</v>
      </c>
      <c r="E42" s="568">
        <v>16308.2</v>
      </c>
      <c r="F42" s="568">
        <v>621</v>
      </c>
      <c r="G42" s="568">
        <f t="shared" si="1"/>
        <v>284483.40000000002</v>
      </c>
      <c r="I42" s="996"/>
    </row>
    <row r="43" spans="1:11" s="211" customFormat="1" ht="11.1" customHeight="1">
      <c r="A43" s="378" t="s">
        <v>2114</v>
      </c>
      <c r="B43" s="562"/>
      <c r="C43" s="562"/>
      <c r="D43" s="562"/>
      <c r="E43" s="562"/>
      <c r="F43" s="562"/>
      <c r="G43" s="562"/>
      <c r="I43" s="996"/>
    </row>
    <row r="44" spans="1:11" s="211" customFormat="1" ht="11.1" customHeight="1">
      <c r="A44" s="211" t="s">
        <v>742</v>
      </c>
      <c r="B44" s="568">
        <v>210983.80000000002</v>
      </c>
      <c r="C44" s="568">
        <v>13685.3</v>
      </c>
      <c r="D44" s="568">
        <v>66742.899999999994</v>
      </c>
      <c r="E44" s="568">
        <v>14881.5</v>
      </c>
      <c r="F44" s="568">
        <v>501.3</v>
      </c>
      <c r="G44" s="568">
        <f t="shared" si="1"/>
        <v>291913.3</v>
      </c>
      <c r="I44" s="996"/>
    </row>
    <row r="45" spans="1:11" s="211" customFormat="1" ht="11.1" customHeight="1">
      <c r="A45" s="376" t="s">
        <v>743</v>
      </c>
      <c r="B45" s="562">
        <v>193989.6</v>
      </c>
      <c r="C45" s="562">
        <v>17870.5</v>
      </c>
      <c r="D45" s="562">
        <v>69651</v>
      </c>
      <c r="E45" s="562">
        <v>16638.599999999999</v>
      </c>
      <c r="F45" s="562">
        <v>510.6</v>
      </c>
      <c r="G45" s="562">
        <f t="shared" si="1"/>
        <v>282021.69999999995</v>
      </c>
      <c r="I45" s="996"/>
    </row>
    <row r="46" spans="1:11" s="211" customFormat="1" ht="11.1" customHeight="1">
      <c r="A46" s="211" t="s">
        <v>737</v>
      </c>
      <c r="B46" s="568">
        <v>189198</v>
      </c>
      <c r="C46" s="568">
        <v>16378.4</v>
      </c>
      <c r="D46" s="568">
        <v>74686.2</v>
      </c>
      <c r="E46" s="568">
        <v>17734.5</v>
      </c>
      <c r="F46" s="568">
        <v>559</v>
      </c>
      <c r="G46" s="568">
        <f t="shared" si="1"/>
        <v>280821.59999999998</v>
      </c>
      <c r="I46" s="996"/>
    </row>
    <row r="47" spans="1:11" s="211" customFormat="1" ht="11.1" customHeight="1">
      <c r="A47" s="376" t="s">
        <v>744</v>
      </c>
      <c r="B47" s="562">
        <v>188056.19999999998</v>
      </c>
      <c r="C47" s="562">
        <v>15750.7</v>
      </c>
      <c r="D47" s="562">
        <v>84813.1</v>
      </c>
      <c r="E47" s="562">
        <v>18753.400000000001</v>
      </c>
      <c r="F47" s="562">
        <v>551.70000000000005</v>
      </c>
      <c r="G47" s="562">
        <f t="shared" si="1"/>
        <v>289171.7</v>
      </c>
      <c r="I47" s="996"/>
    </row>
    <row r="48" spans="1:11" s="211" customFormat="1" ht="11.1" customHeight="1">
      <c r="A48" s="211" t="s">
        <v>745</v>
      </c>
      <c r="B48" s="568">
        <v>185436.9</v>
      </c>
      <c r="C48" s="568">
        <v>16571.099999999999</v>
      </c>
      <c r="D48" s="568">
        <v>94565.9</v>
      </c>
      <c r="E48" s="568">
        <v>19399.8</v>
      </c>
      <c r="F48" s="568">
        <v>521.70000000000005</v>
      </c>
      <c r="G48" s="568">
        <f t="shared" si="1"/>
        <v>297095.60000000003</v>
      </c>
      <c r="I48" s="996"/>
    </row>
    <row r="49" spans="1:9" s="211" customFormat="1" ht="11.1" customHeight="1">
      <c r="A49" s="376" t="s">
        <v>738</v>
      </c>
      <c r="B49" s="562">
        <v>187462.9</v>
      </c>
      <c r="C49" s="562">
        <v>15607.2</v>
      </c>
      <c r="D49" s="562">
        <v>100235</v>
      </c>
      <c r="E49" s="562">
        <v>15600.3</v>
      </c>
      <c r="F49" s="562">
        <v>749.2</v>
      </c>
      <c r="G49" s="562">
        <f t="shared" si="1"/>
        <v>304054.3</v>
      </c>
      <c r="I49" s="996"/>
    </row>
    <row r="50" spans="1:9" s="211" customFormat="1" ht="11.1" customHeight="1">
      <c r="A50" s="211" t="s">
        <v>746</v>
      </c>
      <c r="B50" s="568">
        <v>185741.90000000002</v>
      </c>
      <c r="C50" s="568">
        <v>17617.3</v>
      </c>
      <c r="D50" s="568">
        <v>97338.2</v>
      </c>
      <c r="E50" s="568">
        <v>15409</v>
      </c>
      <c r="F50" s="568">
        <v>527.79999999999995</v>
      </c>
      <c r="G50" s="568">
        <f t="shared" si="1"/>
        <v>301225.2</v>
      </c>
      <c r="I50" s="996"/>
    </row>
    <row r="51" spans="1:9" s="211" customFormat="1" ht="11.1" customHeight="1">
      <c r="A51" s="376" t="s">
        <v>747</v>
      </c>
      <c r="B51" s="562">
        <v>185332.8</v>
      </c>
      <c r="C51" s="562">
        <v>18049</v>
      </c>
      <c r="D51" s="562">
        <v>96552.9</v>
      </c>
      <c r="E51" s="562">
        <v>15607.5</v>
      </c>
      <c r="F51" s="562">
        <v>558.70000000000005</v>
      </c>
      <c r="G51" s="562">
        <f t="shared" si="1"/>
        <v>300493.39999999997</v>
      </c>
      <c r="I51" s="996"/>
    </row>
    <row r="52" spans="1:9" s="211" customFormat="1" ht="11.1" customHeight="1">
      <c r="A52" s="211" t="s">
        <v>739</v>
      </c>
      <c r="B52" s="568">
        <v>184216.3</v>
      </c>
      <c r="C52" s="568">
        <v>17663.5</v>
      </c>
      <c r="D52" s="568">
        <v>101175.8</v>
      </c>
      <c r="E52" s="568">
        <v>14169.2</v>
      </c>
      <c r="F52" s="568">
        <v>605.6</v>
      </c>
      <c r="G52" s="568">
        <f t="shared" si="1"/>
        <v>303661.19999999995</v>
      </c>
      <c r="I52" s="996"/>
    </row>
    <row r="53" spans="1:9" s="211" customFormat="1" ht="11.1" customHeight="1">
      <c r="A53" s="376" t="s">
        <v>748</v>
      </c>
      <c r="B53" s="562">
        <v>192410.9</v>
      </c>
      <c r="C53" s="562">
        <v>17780.2</v>
      </c>
      <c r="D53" s="562">
        <v>105302.39999999999</v>
      </c>
      <c r="E53" s="562">
        <v>13618.6</v>
      </c>
      <c r="F53" s="562">
        <v>567.9</v>
      </c>
      <c r="G53" s="562">
        <f t="shared" si="1"/>
        <v>316061.40000000002</v>
      </c>
      <c r="I53" s="996"/>
    </row>
    <row r="54" spans="1:9" s="211" customFormat="1" ht="11.1" customHeight="1" thickBot="1">
      <c r="A54" s="1011" t="s">
        <v>749</v>
      </c>
      <c r="B54" s="1083">
        <v>201207.69999999998</v>
      </c>
      <c r="C54" s="1083">
        <v>19647.099999999999</v>
      </c>
      <c r="D54" s="1083">
        <v>106491.2</v>
      </c>
      <c r="E54" s="1083">
        <v>13129.3</v>
      </c>
      <c r="F54" s="1083">
        <v>506.5</v>
      </c>
      <c r="G54" s="1083">
        <f t="shared" si="1"/>
        <v>327852.5</v>
      </c>
      <c r="I54" s="996"/>
    </row>
    <row r="55" spans="1:9" s="9" customFormat="1" ht="11.25" customHeight="1">
      <c r="A55" s="302"/>
      <c r="B55" s="68" t="s">
        <v>1749</v>
      </c>
      <c r="C55" s="68"/>
      <c r="D55" s="68"/>
      <c r="E55" s="68"/>
      <c r="F55" s="68"/>
      <c r="G55" s="68"/>
      <c r="H55" s="186"/>
      <c r="I55" s="996"/>
    </row>
    <row r="56" spans="1:9" s="9" customFormat="1">
      <c r="A56" s="537" t="s">
        <v>1795</v>
      </c>
      <c r="B56" s="1821" t="s">
        <v>1637</v>
      </c>
      <c r="C56" s="1821"/>
      <c r="D56" s="1821"/>
      <c r="E56" s="863"/>
      <c r="F56" s="863"/>
      <c r="G56" s="863"/>
      <c r="I56" s="186"/>
    </row>
    <row r="57" spans="1:9">
      <c r="A57" s="9"/>
      <c r="B57" s="68"/>
      <c r="C57" s="68"/>
      <c r="D57" s="68"/>
      <c r="E57" s="68"/>
      <c r="F57" s="68"/>
      <c r="G57" s="68"/>
    </row>
    <row r="58" spans="1:9">
      <c r="A58" s="9"/>
      <c r="B58" s="9"/>
      <c r="C58" s="9"/>
      <c r="D58" s="9"/>
      <c r="E58" s="9"/>
      <c r="F58" s="9"/>
      <c r="G58" s="186"/>
    </row>
    <row r="59" spans="1:9">
      <c r="A59" s="9"/>
      <c r="B59" s="81"/>
      <c r="C59" s="9"/>
      <c r="D59" s="9"/>
      <c r="E59" s="9"/>
      <c r="F59" s="9"/>
      <c r="G59" s="186"/>
    </row>
    <row r="61" spans="1:9">
      <c r="G61" s="48"/>
    </row>
    <row r="62" spans="1:9">
      <c r="G62" s="48"/>
    </row>
    <row r="72" spans="2:7">
      <c r="B72" s="48"/>
      <c r="C72" s="48"/>
      <c r="D72" s="48"/>
      <c r="E72" s="48"/>
      <c r="F72" s="48"/>
      <c r="G72" s="48"/>
    </row>
    <row r="73" spans="2:7">
      <c r="B73" s="48"/>
      <c r="C73" s="48"/>
      <c r="D73" s="48"/>
      <c r="E73" s="48"/>
      <c r="F73" s="48"/>
      <c r="G73" s="48"/>
    </row>
    <row r="74" spans="2:7">
      <c r="B74" s="48"/>
      <c r="C74" s="48"/>
      <c r="D74" s="48"/>
      <c r="E74" s="48"/>
      <c r="F74" s="48"/>
      <c r="G74" s="48"/>
    </row>
    <row r="75" spans="2:7">
      <c r="B75" s="48"/>
      <c r="C75" s="48"/>
      <c r="D75" s="48"/>
      <c r="E75" s="48"/>
      <c r="F75" s="48"/>
      <c r="G75" s="48"/>
    </row>
    <row r="76" spans="2:7">
      <c r="B76" s="48"/>
      <c r="C76" s="48"/>
      <c r="D76" s="48"/>
      <c r="E76" s="48"/>
      <c r="F76" s="48"/>
      <c r="G76" s="48"/>
    </row>
    <row r="77" spans="2:7">
      <c r="B77" s="48"/>
      <c r="C77" s="48"/>
      <c r="D77" s="48"/>
      <c r="E77" s="48"/>
      <c r="F77" s="48"/>
      <c r="G77" s="48"/>
    </row>
    <row r="78" spans="2:7">
      <c r="B78" s="48"/>
      <c r="C78" s="48"/>
      <c r="D78" s="48"/>
      <c r="E78" s="48"/>
      <c r="F78" s="48"/>
      <c r="G78" s="48"/>
    </row>
    <row r="79" spans="2:7">
      <c r="B79" s="48"/>
      <c r="C79" s="48"/>
      <c r="D79" s="48"/>
      <c r="E79" s="48"/>
      <c r="F79" s="48"/>
      <c r="G79" s="48"/>
    </row>
    <row r="80" spans="2:7">
      <c r="B80" s="48"/>
      <c r="C80" s="48"/>
      <c r="D80" s="48"/>
      <c r="E80" s="48"/>
      <c r="F80" s="48"/>
      <c r="G80" s="48"/>
    </row>
    <row r="81" spans="2:7">
      <c r="B81" s="48"/>
      <c r="C81" s="48"/>
      <c r="D81" s="48"/>
      <c r="E81" s="48"/>
      <c r="F81" s="48"/>
      <c r="G81" s="48"/>
    </row>
    <row r="82" spans="2:7">
      <c r="B82" s="48"/>
      <c r="C82" s="48"/>
      <c r="D82" s="48"/>
      <c r="E82" s="48"/>
      <c r="F82" s="48"/>
      <c r="G82" s="48"/>
    </row>
  </sheetData>
  <mergeCells count="13">
    <mergeCell ref="D5:D6"/>
    <mergeCell ref="D4:E4"/>
    <mergeCell ref="D3:F3"/>
    <mergeCell ref="B56:D56"/>
    <mergeCell ref="F1:G1"/>
    <mergeCell ref="A1:E1"/>
    <mergeCell ref="A3:A7"/>
    <mergeCell ref="E5:E6"/>
    <mergeCell ref="C3:C6"/>
    <mergeCell ref="B3:B6"/>
    <mergeCell ref="F2:G2"/>
    <mergeCell ref="G3:G6"/>
    <mergeCell ref="F4:F6"/>
  </mergeCells>
  <phoneticPr fontId="0" type="noConversion"/>
  <pageMargins left="0.62992125984252001" right="0.511811023622047" top="0.511811023622047" bottom="0.511811023622047" header="0" footer="0.39370078740157499"/>
  <pageSetup paperSize="448" firstPageNumber="16" orientation="portrait" useFirstPageNumber="1" r:id="rId1"/>
  <headerFooter alignWithMargins="0">
    <oddFooter>&amp;C&amp;"Times New Roman,Regular"&amp;8&amp;P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M80"/>
  <sheetViews>
    <sheetView zoomScale="200" zoomScaleNormal="200" workbookViewId="0">
      <pane xSplit="1" ySplit="7" topLeftCell="B54" activePane="bottomRight" state="frozen"/>
      <selection activeCell="F85" sqref="F85"/>
      <selection pane="topRight" activeCell="F85" sqref="F85"/>
      <selection pane="bottomLeft" activeCell="F85" sqref="F85"/>
      <selection pane="bottomRight" activeCell="C54" sqref="C54"/>
    </sheetView>
  </sheetViews>
  <sheetFormatPr defaultColWidth="9.140625" defaultRowHeight="11.25"/>
  <cols>
    <col min="1" max="1" width="10.140625" style="213" customWidth="1"/>
    <col min="2" max="2" width="7.42578125" style="213" customWidth="1"/>
    <col min="3" max="3" width="7.140625" style="213" customWidth="1"/>
    <col min="4" max="4" width="7" style="213" customWidth="1"/>
    <col min="5" max="5" width="6.42578125" style="213" customWidth="1"/>
    <col min="6" max="6" width="7.42578125" style="213" customWidth="1"/>
    <col min="7" max="7" width="8.28515625" style="213" customWidth="1"/>
    <col min="8" max="8" width="7.28515625" style="213" customWidth="1"/>
    <col min="9" max="9" width="8" style="213" customWidth="1"/>
    <col min="10" max="10" width="7.5703125" style="213" customWidth="1"/>
    <col min="11" max="16384" width="9.140625" style="213"/>
  </cols>
  <sheetData>
    <row r="1" spans="1:12" s="215" customFormat="1" ht="13.5" customHeight="1">
      <c r="A1" s="1863" t="s">
        <v>1671</v>
      </c>
      <c r="B1" s="1863"/>
      <c r="C1" s="1863"/>
      <c r="D1" s="1863"/>
      <c r="E1" s="1863"/>
      <c r="F1" s="1863"/>
      <c r="G1" s="1863"/>
      <c r="H1" s="1863"/>
      <c r="I1" s="1861" t="s">
        <v>240</v>
      </c>
      <c r="J1" s="1861"/>
    </row>
    <row r="2" spans="1:12" s="218" customFormat="1" ht="12">
      <c r="I2" s="1862" t="s">
        <v>25</v>
      </c>
      <c r="J2" s="1862"/>
    </row>
    <row r="3" spans="1:12" s="480" customFormat="1" ht="15" customHeight="1">
      <c r="A3" s="1774" t="s">
        <v>1220</v>
      </c>
      <c r="B3" s="1851" t="s">
        <v>241</v>
      </c>
      <c r="C3" s="1788" t="s">
        <v>665</v>
      </c>
      <c r="D3" s="1789"/>
      <c r="E3" s="1789"/>
      <c r="F3" s="1789"/>
      <c r="G3" s="1790"/>
      <c r="H3" s="1783" t="s">
        <v>1199</v>
      </c>
      <c r="I3" s="1783" t="s">
        <v>244</v>
      </c>
      <c r="J3" s="1783" t="s">
        <v>245</v>
      </c>
    </row>
    <row r="4" spans="1:12" s="480" customFormat="1" ht="12.75" customHeight="1">
      <c r="A4" s="1774"/>
      <c r="B4" s="1864"/>
      <c r="C4" s="1783" t="s">
        <v>1042</v>
      </c>
      <c r="D4" s="1783" t="s">
        <v>667</v>
      </c>
      <c r="E4" s="1783" t="s">
        <v>781</v>
      </c>
      <c r="F4" s="1783" t="s">
        <v>242</v>
      </c>
      <c r="G4" s="1783" t="s">
        <v>243</v>
      </c>
      <c r="H4" s="1766"/>
      <c r="I4" s="1766"/>
      <c r="J4" s="1766"/>
    </row>
    <row r="5" spans="1:12" s="220" customFormat="1" ht="19.5" customHeight="1">
      <c r="A5" s="1774"/>
      <c r="B5" s="1864"/>
      <c r="C5" s="1766"/>
      <c r="D5" s="1766"/>
      <c r="E5" s="1858"/>
      <c r="F5" s="1766"/>
      <c r="G5" s="1766"/>
      <c r="H5" s="1766"/>
      <c r="I5" s="1766"/>
      <c r="J5" s="1766"/>
    </row>
    <row r="6" spans="1:12" s="220" customFormat="1" ht="14.25" customHeight="1">
      <c r="A6" s="1774"/>
      <c r="B6" s="1852"/>
      <c r="C6" s="1721"/>
      <c r="D6" s="1721"/>
      <c r="E6" s="1857"/>
      <c r="F6" s="1721"/>
      <c r="G6" s="1721"/>
      <c r="H6" s="1721"/>
      <c r="I6" s="1721"/>
      <c r="J6" s="1721"/>
    </row>
    <row r="7" spans="1:12" s="290" customFormat="1" ht="10.5" customHeight="1">
      <c r="A7" s="1774"/>
      <c r="B7" s="633">
        <v>1</v>
      </c>
      <c r="C7" s="634">
        <v>2</v>
      </c>
      <c r="D7" s="634">
        <v>3</v>
      </c>
      <c r="E7" s="634">
        <v>4</v>
      </c>
      <c r="F7" s="634">
        <v>5</v>
      </c>
      <c r="G7" s="634">
        <v>6</v>
      </c>
      <c r="H7" s="634">
        <v>7</v>
      </c>
      <c r="I7" s="634">
        <v>8</v>
      </c>
      <c r="J7" s="634">
        <v>9</v>
      </c>
    </row>
    <row r="8" spans="1:12" s="306" customFormat="1" ht="11.45" customHeight="1">
      <c r="A8" s="306" t="s">
        <v>83</v>
      </c>
      <c r="B8" s="568">
        <v>61181</v>
      </c>
      <c r="C8" s="568">
        <v>21471.200000000001</v>
      </c>
      <c r="D8" s="324">
        <v>830.7</v>
      </c>
      <c r="E8" s="324">
        <v>2588.6999999999998</v>
      </c>
      <c r="F8" s="324">
        <v>6613.9</v>
      </c>
      <c r="G8" s="324">
        <f t="shared" ref="G8:G10" si="0">C8+D8+E8+F8</f>
        <v>31504.5</v>
      </c>
      <c r="H8" s="568">
        <v>-18542.7</v>
      </c>
      <c r="I8" s="294">
        <f t="shared" ref="I8:I10" si="1">G8+H8</f>
        <v>12961.8</v>
      </c>
      <c r="J8" s="294">
        <f t="shared" ref="J8:J10" si="2">B8+I8</f>
        <v>74142.8</v>
      </c>
      <c r="K8" s="740"/>
    </row>
    <row r="9" spans="1:12" s="306" customFormat="1" ht="11.45" customHeight="1">
      <c r="A9" s="742" t="s">
        <v>225</v>
      </c>
      <c r="B9" s="562">
        <v>61342.1</v>
      </c>
      <c r="C9" s="562">
        <v>31710.5</v>
      </c>
      <c r="D9" s="366">
        <v>776.7</v>
      </c>
      <c r="E9" s="366">
        <v>3143.7</v>
      </c>
      <c r="F9" s="366">
        <v>18608.8</v>
      </c>
      <c r="G9" s="366">
        <f t="shared" si="0"/>
        <v>54239.7</v>
      </c>
      <c r="H9" s="562">
        <v>-25847.4</v>
      </c>
      <c r="I9" s="361">
        <f t="shared" si="1"/>
        <v>28392.299999999996</v>
      </c>
      <c r="J9" s="361">
        <f t="shared" si="2"/>
        <v>89734.399999999994</v>
      </c>
      <c r="K9" s="740"/>
    </row>
    <row r="10" spans="1:12" s="306" customFormat="1" ht="11.45" customHeight="1">
      <c r="A10" s="306" t="s">
        <v>972</v>
      </c>
      <c r="B10" s="568">
        <v>68930.100000000006</v>
      </c>
      <c r="C10" s="568">
        <v>37854.9</v>
      </c>
      <c r="D10" s="324">
        <v>1181.9000000000001</v>
      </c>
      <c r="E10" s="324">
        <v>3598.7</v>
      </c>
      <c r="F10" s="324">
        <v>22627.4</v>
      </c>
      <c r="G10" s="324">
        <f t="shared" si="0"/>
        <v>65262.9</v>
      </c>
      <c r="H10" s="568">
        <v>-36390.300000000003</v>
      </c>
      <c r="I10" s="294">
        <f t="shared" si="1"/>
        <v>28872.6</v>
      </c>
      <c r="J10" s="294">
        <f t="shared" si="2"/>
        <v>97802.700000000012</v>
      </c>
      <c r="K10" s="740"/>
    </row>
    <row r="11" spans="1:12" s="306" customFormat="1" ht="11.45" customHeight="1">
      <c r="A11" s="742" t="s">
        <v>1107</v>
      </c>
      <c r="B11" s="562">
        <v>103246</v>
      </c>
      <c r="C11" s="562">
        <v>27069</v>
      </c>
      <c r="D11" s="366">
        <v>1354.5</v>
      </c>
      <c r="E11" s="366">
        <v>4180.2</v>
      </c>
      <c r="F11" s="366">
        <v>10219</v>
      </c>
      <c r="G11" s="366">
        <v>42822.7</v>
      </c>
      <c r="H11" s="562">
        <v>-33579.300000000003</v>
      </c>
      <c r="I11" s="361">
        <v>9243.3999999999942</v>
      </c>
      <c r="J11" s="361">
        <v>112489.4</v>
      </c>
      <c r="K11" s="740"/>
    </row>
    <row r="12" spans="1:12" s="741" customFormat="1" ht="11.45" customHeight="1">
      <c r="A12" s="622" t="s">
        <v>1347</v>
      </c>
      <c r="B12" s="294">
        <v>147496.6</v>
      </c>
      <c r="C12" s="568">
        <v>3840.6</v>
      </c>
      <c r="D12" s="568">
        <v>1202.7</v>
      </c>
      <c r="E12" s="568">
        <v>4272.7</v>
      </c>
      <c r="F12" s="568">
        <v>6279.2</v>
      </c>
      <c r="G12" s="568">
        <v>15595.2</v>
      </c>
      <c r="H12" s="568">
        <v>-33216.5</v>
      </c>
      <c r="I12" s="568">
        <v>-17621.3</v>
      </c>
      <c r="J12" s="568">
        <v>129875.3</v>
      </c>
    </row>
    <row r="13" spans="1:12" s="743" customFormat="1" ht="11.45" customHeight="1">
      <c r="A13" s="369" t="s">
        <v>1406</v>
      </c>
      <c r="B13" s="562">
        <v>177401.3</v>
      </c>
      <c r="C13" s="562">
        <v>810.5</v>
      </c>
      <c r="D13" s="562">
        <v>2160.8000000000002</v>
      </c>
      <c r="E13" s="562">
        <v>4645.6000000000004</v>
      </c>
      <c r="F13" s="562">
        <v>5659.2</v>
      </c>
      <c r="G13" s="562">
        <v>13276.1</v>
      </c>
      <c r="H13" s="562">
        <v>-42194.9</v>
      </c>
      <c r="I13" s="562">
        <v>-28918.800000000003</v>
      </c>
      <c r="J13" s="562">
        <v>148482.5</v>
      </c>
      <c r="L13" s="744"/>
    </row>
    <row r="14" spans="1:12" s="547" customFormat="1" ht="11.45" customHeight="1">
      <c r="A14" s="292" t="s">
        <v>1560</v>
      </c>
      <c r="B14" s="568">
        <v>218904.1</v>
      </c>
      <c r="C14" s="568">
        <v>13373.7</v>
      </c>
      <c r="D14" s="568">
        <v>2015.5</v>
      </c>
      <c r="E14" s="568">
        <v>4966.8999999999996</v>
      </c>
      <c r="F14" s="568">
        <v>6024.4</v>
      </c>
      <c r="G14" s="568">
        <v>26380.5</v>
      </c>
      <c r="H14" s="568">
        <v>-52083.3</v>
      </c>
      <c r="I14" s="568">
        <v>-25702.800000000003</v>
      </c>
      <c r="J14" s="568">
        <v>193201.3</v>
      </c>
      <c r="L14" s="546"/>
    </row>
    <row r="15" spans="1:12" s="547" customFormat="1" ht="11.45" customHeight="1">
      <c r="A15" s="359" t="s">
        <v>1596</v>
      </c>
      <c r="B15" s="562">
        <v>252027</v>
      </c>
      <c r="C15" s="562">
        <v>12977.7</v>
      </c>
      <c r="D15" s="562">
        <v>2157.8000000000002</v>
      </c>
      <c r="E15" s="562">
        <v>4976.6000000000004</v>
      </c>
      <c r="F15" s="562">
        <v>5054.3999999999996</v>
      </c>
      <c r="G15" s="562">
        <v>25166.5</v>
      </c>
      <c r="H15" s="562">
        <v>-52534.1</v>
      </c>
      <c r="I15" s="562">
        <v>-27367.599999999999</v>
      </c>
      <c r="J15" s="562">
        <v>224659.4</v>
      </c>
      <c r="L15" s="546"/>
    </row>
    <row r="16" spans="1:12" s="547" customFormat="1" ht="11.45" customHeight="1">
      <c r="A16" s="613" t="s">
        <v>1756</v>
      </c>
      <c r="B16" s="688">
        <v>253509.8</v>
      </c>
      <c r="C16" s="688">
        <v>22572.2</v>
      </c>
      <c r="D16" s="688">
        <v>2367.8000000000002</v>
      </c>
      <c r="E16" s="688">
        <v>5146.2</v>
      </c>
      <c r="F16" s="688">
        <v>5582.5</v>
      </c>
      <c r="G16" s="688">
        <v>35668.699999999997</v>
      </c>
      <c r="H16" s="688">
        <v>-55435.5</v>
      </c>
      <c r="I16" s="688">
        <v>-19766.800000000003</v>
      </c>
      <c r="J16" s="688">
        <v>233743</v>
      </c>
      <c r="L16" s="546"/>
    </row>
    <row r="17" spans="1:11" s="285" customFormat="1" ht="11.45" customHeight="1">
      <c r="A17" s="449" t="s">
        <v>1904</v>
      </c>
      <c r="B17" s="691">
        <f>B29</f>
        <v>257195.4</v>
      </c>
      <c r="C17" s="691">
        <f t="shared" ref="C17:J17" si="3">C29</f>
        <v>31189</v>
      </c>
      <c r="D17" s="691">
        <f t="shared" si="3"/>
        <v>2380.4</v>
      </c>
      <c r="E17" s="691">
        <f t="shared" si="3"/>
        <v>4789.5</v>
      </c>
      <c r="F17" s="691">
        <f t="shared" si="3"/>
        <v>5386.9</v>
      </c>
      <c r="G17" s="691">
        <f>G29</f>
        <v>43745.8</v>
      </c>
      <c r="H17" s="691">
        <f t="shared" si="3"/>
        <v>-54753.5</v>
      </c>
      <c r="I17" s="691">
        <f t="shared" si="3"/>
        <v>-11007.699999999997</v>
      </c>
      <c r="J17" s="691">
        <f t="shared" si="3"/>
        <v>246187.7</v>
      </c>
      <c r="K17" s="811"/>
    </row>
    <row r="18" spans="1:11" s="285" customFormat="1" ht="11.45" customHeight="1">
      <c r="A18" s="322" t="s">
        <v>742</v>
      </c>
      <c r="B18" s="568">
        <v>251973.1</v>
      </c>
      <c r="C18" s="568">
        <v>12131.7</v>
      </c>
      <c r="D18" s="568">
        <v>2356.5</v>
      </c>
      <c r="E18" s="568">
        <v>5096.8999999999996</v>
      </c>
      <c r="F18" s="568">
        <v>4998.2</v>
      </c>
      <c r="G18" s="568">
        <f t="shared" ref="G18:G54" si="4">C18+D18+E18+F18</f>
        <v>24583.3</v>
      </c>
      <c r="H18" s="568">
        <v>-55288.5</v>
      </c>
      <c r="I18" s="568">
        <f t="shared" ref="I18:I29" si="5">G18+H18</f>
        <v>-30705.200000000001</v>
      </c>
      <c r="J18" s="568">
        <f t="shared" ref="J18:J29" si="6">B18+I18</f>
        <v>221267.9</v>
      </c>
    </row>
    <row r="19" spans="1:11" ht="11.45" customHeight="1">
      <c r="A19" s="399" t="s">
        <v>743</v>
      </c>
      <c r="B19" s="562">
        <v>254675.20000000001</v>
      </c>
      <c r="C19" s="562">
        <v>17116.900000000001</v>
      </c>
      <c r="D19" s="562">
        <v>2359.9</v>
      </c>
      <c r="E19" s="562">
        <v>5051.1000000000004</v>
      </c>
      <c r="F19" s="562">
        <v>4959.7</v>
      </c>
      <c r="G19" s="562">
        <f t="shared" si="4"/>
        <v>29487.600000000002</v>
      </c>
      <c r="H19" s="562">
        <v>-49792</v>
      </c>
      <c r="I19" s="562">
        <f t="shared" si="5"/>
        <v>-20304.399999999998</v>
      </c>
      <c r="J19" s="562">
        <f t="shared" si="6"/>
        <v>234370.80000000002</v>
      </c>
    </row>
    <row r="20" spans="1:11" ht="11.45" customHeight="1">
      <c r="A20" s="322" t="s">
        <v>737</v>
      </c>
      <c r="B20" s="568">
        <v>251729.4</v>
      </c>
      <c r="C20" s="568">
        <v>10446.5</v>
      </c>
      <c r="D20" s="568">
        <v>2363.1999999999998</v>
      </c>
      <c r="E20" s="568">
        <v>5003.2</v>
      </c>
      <c r="F20" s="568">
        <v>5009.8999999999996</v>
      </c>
      <c r="G20" s="568">
        <f t="shared" si="4"/>
        <v>22822.800000000003</v>
      </c>
      <c r="H20" s="568">
        <v>-46065</v>
      </c>
      <c r="I20" s="568">
        <f t="shared" si="5"/>
        <v>-23242.199999999997</v>
      </c>
      <c r="J20" s="568">
        <f t="shared" si="6"/>
        <v>228487.2</v>
      </c>
    </row>
    <row r="21" spans="1:11" ht="11.45" customHeight="1">
      <c r="A21" s="399" t="s">
        <v>744</v>
      </c>
      <c r="B21" s="562">
        <v>248150.39999999999</v>
      </c>
      <c r="C21" s="562">
        <v>14507.2</v>
      </c>
      <c r="D21" s="562">
        <v>2366.6999999999998</v>
      </c>
      <c r="E21" s="562">
        <v>4969</v>
      </c>
      <c r="F21" s="562">
        <v>4984.8</v>
      </c>
      <c r="G21" s="562">
        <f t="shared" si="4"/>
        <v>26827.7</v>
      </c>
      <c r="H21" s="562">
        <v>-46859.9</v>
      </c>
      <c r="I21" s="562">
        <f t="shared" si="5"/>
        <v>-20032.2</v>
      </c>
      <c r="J21" s="562">
        <f t="shared" si="6"/>
        <v>228118.19999999998</v>
      </c>
    </row>
    <row r="22" spans="1:11" ht="11.45" customHeight="1">
      <c r="A22" s="322" t="s">
        <v>745</v>
      </c>
      <c r="B22" s="568">
        <v>245304.3</v>
      </c>
      <c r="C22" s="568">
        <v>15583.1</v>
      </c>
      <c r="D22" s="568">
        <v>2370.1</v>
      </c>
      <c r="E22" s="568">
        <v>4945</v>
      </c>
      <c r="F22" s="568">
        <v>5195.3</v>
      </c>
      <c r="G22" s="568">
        <f t="shared" si="4"/>
        <v>28093.5</v>
      </c>
      <c r="H22" s="568">
        <v>-48070.2</v>
      </c>
      <c r="I22" s="568">
        <f t="shared" si="5"/>
        <v>-19976.699999999997</v>
      </c>
      <c r="J22" s="568">
        <f t="shared" si="6"/>
        <v>225327.59999999998</v>
      </c>
    </row>
    <row r="23" spans="1:11" ht="11.45" customHeight="1">
      <c r="A23" s="399" t="s">
        <v>738</v>
      </c>
      <c r="B23" s="562">
        <v>247691.7</v>
      </c>
      <c r="C23" s="562">
        <v>21067.4</v>
      </c>
      <c r="D23" s="562">
        <v>2373.5</v>
      </c>
      <c r="E23" s="562">
        <v>4979</v>
      </c>
      <c r="F23" s="562">
        <v>5857.6</v>
      </c>
      <c r="G23" s="562">
        <f t="shared" si="4"/>
        <v>34277.5</v>
      </c>
      <c r="H23" s="562">
        <v>-47311.3</v>
      </c>
      <c r="I23" s="562">
        <f t="shared" si="5"/>
        <v>-13033.800000000003</v>
      </c>
      <c r="J23" s="562">
        <f t="shared" si="6"/>
        <v>234657.90000000002</v>
      </c>
    </row>
    <row r="24" spans="1:11" ht="11.45" customHeight="1">
      <c r="A24" s="322" t="s">
        <v>746</v>
      </c>
      <c r="B24" s="568">
        <v>245563.2</v>
      </c>
      <c r="C24" s="568">
        <v>17669.8</v>
      </c>
      <c r="D24" s="568">
        <v>2347.6</v>
      </c>
      <c r="E24" s="568">
        <v>4910.8999999999996</v>
      </c>
      <c r="F24" s="568">
        <v>5208</v>
      </c>
      <c r="G24" s="568">
        <f t="shared" si="4"/>
        <v>30136.299999999996</v>
      </c>
      <c r="H24" s="568">
        <v>-47671.9</v>
      </c>
      <c r="I24" s="568">
        <f t="shared" si="5"/>
        <v>-17535.600000000006</v>
      </c>
      <c r="J24" s="568">
        <f t="shared" si="6"/>
        <v>228027.6</v>
      </c>
    </row>
    <row r="25" spans="1:11" ht="11.45" customHeight="1">
      <c r="A25" s="399" t="s">
        <v>747</v>
      </c>
      <c r="B25" s="562">
        <v>250320.8</v>
      </c>
      <c r="C25" s="562">
        <v>13370.8</v>
      </c>
      <c r="D25" s="562">
        <v>2352.6</v>
      </c>
      <c r="E25" s="562">
        <v>4783.6000000000004</v>
      </c>
      <c r="F25" s="562">
        <v>6300.3</v>
      </c>
      <c r="G25" s="562">
        <f t="shared" si="4"/>
        <v>26807.3</v>
      </c>
      <c r="H25" s="562">
        <v>-50385.5</v>
      </c>
      <c r="I25" s="562">
        <f t="shared" si="5"/>
        <v>-23578.2</v>
      </c>
      <c r="J25" s="562">
        <f t="shared" si="6"/>
        <v>226742.59999999998</v>
      </c>
    </row>
    <row r="26" spans="1:11" ht="11.45" customHeight="1">
      <c r="A26" s="322" t="s">
        <v>739</v>
      </c>
      <c r="B26" s="568">
        <v>251391.3</v>
      </c>
      <c r="C26" s="568">
        <v>11760.6</v>
      </c>
      <c r="D26" s="568">
        <v>2354.3000000000002</v>
      </c>
      <c r="E26" s="568">
        <v>4815</v>
      </c>
      <c r="F26" s="568">
        <v>6937.1</v>
      </c>
      <c r="G26" s="568">
        <f t="shared" si="4"/>
        <v>25867</v>
      </c>
      <c r="H26" s="568">
        <v>-52168</v>
      </c>
      <c r="I26" s="568">
        <f t="shared" si="5"/>
        <v>-26301</v>
      </c>
      <c r="J26" s="568">
        <f t="shared" si="6"/>
        <v>225090.3</v>
      </c>
    </row>
    <row r="27" spans="1:11" ht="11.45" customHeight="1">
      <c r="A27" s="399" t="s">
        <v>748</v>
      </c>
      <c r="B27" s="562">
        <v>249633.4</v>
      </c>
      <c r="C27" s="562">
        <v>16694.900000000001</v>
      </c>
      <c r="D27" s="562">
        <v>2328</v>
      </c>
      <c r="E27" s="562">
        <v>4776.5</v>
      </c>
      <c r="F27" s="562">
        <v>5714.6</v>
      </c>
      <c r="G27" s="562">
        <f t="shared" si="4"/>
        <v>29514</v>
      </c>
      <c r="H27" s="562">
        <v>-52156.1</v>
      </c>
      <c r="I27" s="562">
        <f t="shared" si="5"/>
        <v>-22642.1</v>
      </c>
      <c r="J27" s="562">
        <f t="shared" si="6"/>
        <v>226991.3</v>
      </c>
    </row>
    <row r="28" spans="1:11" ht="11.45" customHeight="1">
      <c r="A28" s="322" t="s">
        <v>749</v>
      </c>
      <c r="B28" s="568">
        <v>248731</v>
      </c>
      <c r="C28" s="568">
        <v>33722.6</v>
      </c>
      <c r="D28" s="568">
        <v>2382.3000000000002</v>
      </c>
      <c r="E28" s="568">
        <v>4776.7</v>
      </c>
      <c r="F28" s="568">
        <v>7716.8</v>
      </c>
      <c r="G28" s="568">
        <f t="shared" si="4"/>
        <v>48598.400000000001</v>
      </c>
      <c r="H28" s="568">
        <v>-51657.2</v>
      </c>
      <c r="I28" s="568">
        <f t="shared" si="5"/>
        <v>-3058.7999999999956</v>
      </c>
      <c r="J28" s="568">
        <f t="shared" si="6"/>
        <v>245672.2</v>
      </c>
    </row>
    <row r="29" spans="1:11" ht="11.45" customHeight="1">
      <c r="A29" s="399" t="s">
        <v>740</v>
      </c>
      <c r="B29" s="562">
        <v>257195.4</v>
      </c>
      <c r="C29" s="562">
        <v>31189</v>
      </c>
      <c r="D29" s="562">
        <v>2380.4</v>
      </c>
      <c r="E29" s="562">
        <v>4789.5</v>
      </c>
      <c r="F29" s="562">
        <v>5386.9</v>
      </c>
      <c r="G29" s="562">
        <f t="shared" si="4"/>
        <v>43745.8</v>
      </c>
      <c r="H29" s="562">
        <v>-54753.5</v>
      </c>
      <c r="I29" s="562">
        <f t="shared" si="5"/>
        <v>-11007.699999999997</v>
      </c>
      <c r="J29" s="562">
        <f t="shared" si="6"/>
        <v>246187.7</v>
      </c>
    </row>
    <row r="30" spans="1:11" ht="11.45" customHeight="1">
      <c r="A30" s="243" t="s">
        <v>2017</v>
      </c>
      <c r="B30" s="688">
        <f>B42</f>
        <v>286040.90000000002</v>
      </c>
      <c r="C30" s="688">
        <f t="shared" ref="C30:J30" si="7">C42</f>
        <v>42117.1</v>
      </c>
      <c r="D30" s="688">
        <f t="shared" si="7"/>
        <v>2551.9</v>
      </c>
      <c r="E30" s="688">
        <f t="shared" si="7"/>
        <v>5342.5</v>
      </c>
      <c r="F30" s="688">
        <f t="shared" si="7"/>
        <v>13764.9</v>
      </c>
      <c r="G30" s="688">
        <f>G42</f>
        <v>63776.4</v>
      </c>
      <c r="H30" s="688">
        <f t="shared" si="7"/>
        <v>-65333.9</v>
      </c>
      <c r="I30" s="688">
        <f t="shared" si="7"/>
        <v>-1557.5</v>
      </c>
      <c r="J30" s="688">
        <f t="shared" si="7"/>
        <v>284483.40000000002</v>
      </c>
    </row>
    <row r="31" spans="1:11" ht="11.45" customHeight="1">
      <c r="A31" s="376" t="s">
        <v>742</v>
      </c>
      <c r="B31" s="562">
        <v>255655.5</v>
      </c>
      <c r="C31" s="562">
        <v>29485.4</v>
      </c>
      <c r="D31" s="562">
        <v>2471.3000000000002</v>
      </c>
      <c r="E31" s="562">
        <v>4805.1000000000004</v>
      </c>
      <c r="F31" s="562">
        <v>5287.8</v>
      </c>
      <c r="G31" s="562">
        <f t="shared" si="4"/>
        <v>42049.600000000006</v>
      </c>
      <c r="H31" s="562">
        <v>-54151.5</v>
      </c>
      <c r="I31" s="562">
        <f t="shared" ref="I31:I54" si="8">G31+H31</f>
        <v>-12101.899999999994</v>
      </c>
      <c r="J31" s="562">
        <f t="shared" ref="J31:J54" si="9">B31+I31</f>
        <v>243553.6</v>
      </c>
    </row>
    <row r="32" spans="1:11" ht="11.45" customHeight="1">
      <c r="A32" s="211" t="s">
        <v>743</v>
      </c>
      <c r="B32" s="568">
        <v>257546.7</v>
      </c>
      <c r="C32" s="568">
        <v>29929</v>
      </c>
      <c r="D32" s="568">
        <v>2475.1999999999998</v>
      </c>
      <c r="E32" s="568">
        <v>4801.2</v>
      </c>
      <c r="F32" s="568">
        <v>8344.7000000000007</v>
      </c>
      <c r="G32" s="568">
        <f t="shared" si="4"/>
        <v>45550.100000000006</v>
      </c>
      <c r="H32" s="568">
        <v>-51708.800000000003</v>
      </c>
      <c r="I32" s="568">
        <f t="shared" si="8"/>
        <v>-6158.6999999999971</v>
      </c>
      <c r="J32" s="568">
        <f t="shared" si="9"/>
        <v>251388</v>
      </c>
    </row>
    <row r="33" spans="1:13" ht="11.45" customHeight="1">
      <c r="A33" s="376" t="s">
        <v>737</v>
      </c>
      <c r="B33" s="562">
        <v>254607.6</v>
      </c>
      <c r="C33" s="562">
        <v>28908.2</v>
      </c>
      <c r="D33" s="562">
        <v>2480.8000000000002</v>
      </c>
      <c r="E33" s="562">
        <v>4817.5</v>
      </c>
      <c r="F33" s="562">
        <v>6295.6</v>
      </c>
      <c r="G33" s="562">
        <f t="shared" si="4"/>
        <v>42502.1</v>
      </c>
      <c r="H33" s="562">
        <v>-49921.7</v>
      </c>
      <c r="I33" s="562">
        <f t="shared" si="8"/>
        <v>-7419.5999999999985</v>
      </c>
      <c r="J33" s="562">
        <f t="shared" si="9"/>
        <v>247188</v>
      </c>
    </row>
    <row r="34" spans="1:13" ht="11.45" customHeight="1">
      <c r="A34" s="211" t="s">
        <v>744</v>
      </c>
      <c r="B34" s="568">
        <v>256007.2</v>
      </c>
      <c r="C34" s="568">
        <v>33824.6</v>
      </c>
      <c r="D34" s="568">
        <v>2483</v>
      </c>
      <c r="E34" s="568">
        <v>4815.3</v>
      </c>
      <c r="F34" s="568">
        <v>5685.8</v>
      </c>
      <c r="G34" s="568">
        <f t="shared" si="4"/>
        <v>46808.700000000004</v>
      </c>
      <c r="H34" s="568">
        <v>-51778</v>
      </c>
      <c r="I34" s="568">
        <f t="shared" si="8"/>
        <v>-4969.2999999999956</v>
      </c>
      <c r="J34" s="568">
        <f t="shared" si="9"/>
        <v>251037.90000000002</v>
      </c>
    </row>
    <row r="35" spans="1:13" ht="11.45" customHeight="1">
      <c r="A35" s="376" t="s">
        <v>745</v>
      </c>
      <c r="B35" s="562">
        <v>255448.9</v>
      </c>
      <c r="C35" s="562">
        <v>30168.5</v>
      </c>
      <c r="D35" s="562">
        <v>2587.1999999999998</v>
      </c>
      <c r="E35" s="562">
        <v>4804.8999999999996</v>
      </c>
      <c r="F35" s="562">
        <v>5669</v>
      </c>
      <c r="G35" s="562">
        <f t="shared" si="4"/>
        <v>43229.599999999999</v>
      </c>
      <c r="H35" s="562">
        <v>-52491.6</v>
      </c>
      <c r="I35" s="562">
        <f t="shared" si="8"/>
        <v>-9262</v>
      </c>
      <c r="J35" s="562">
        <f t="shared" si="9"/>
        <v>246186.9</v>
      </c>
    </row>
    <row r="36" spans="1:13" ht="11.45" customHeight="1">
      <c r="A36" s="211" t="s">
        <v>738</v>
      </c>
      <c r="B36" s="568">
        <v>259113.4</v>
      </c>
      <c r="C36" s="568">
        <v>34438.199999999997</v>
      </c>
      <c r="D36" s="568">
        <v>2593</v>
      </c>
      <c r="E36" s="568">
        <v>4868.2</v>
      </c>
      <c r="F36" s="568">
        <v>5850.2</v>
      </c>
      <c r="G36" s="568">
        <f t="shared" si="4"/>
        <v>47749.599999999991</v>
      </c>
      <c r="H36" s="568">
        <v>-55951.1</v>
      </c>
      <c r="I36" s="568">
        <f t="shared" si="8"/>
        <v>-8201.5000000000073</v>
      </c>
      <c r="J36" s="568">
        <f t="shared" si="9"/>
        <v>250911.9</v>
      </c>
    </row>
    <row r="37" spans="1:13" ht="11.45" customHeight="1">
      <c r="A37" s="376" t="s">
        <v>746</v>
      </c>
      <c r="B37" s="562">
        <v>259738.6</v>
      </c>
      <c r="C37" s="562">
        <v>32763.8</v>
      </c>
      <c r="D37" s="562">
        <v>2569</v>
      </c>
      <c r="E37" s="562">
        <v>4846.5</v>
      </c>
      <c r="F37" s="562">
        <v>6050.6</v>
      </c>
      <c r="G37" s="562">
        <f t="shared" si="4"/>
        <v>46229.9</v>
      </c>
      <c r="H37" s="562">
        <v>-56766.9</v>
      </c>
      <c r="I37" s="562">
        <f t="shared" si="8"/>
        <v>-10537</v>
      </c>
      <c r="J37" s="562">
        <f t="shared" si="9"/>
        <v>249201.6</v>
      </c>
    </row>
    <row r="38" spans="1:13" ht="11.45" customHeight="1">
      <c r="A38" s="211" t="s">
        <v>747</v>
      </c>
      <c r="B38" s="568">
        <v>260343.4</v>
      </c>
      <c r="C38" s="568">
        <v>26329.1</v>
      </c>
      <c r="D38" s="568">
        <v>2574.9</v>
      </c>
      <c r="E38" s="568">
        <v>4879.3</v>
      </c>
      <c r="F38" s="568">
        <v>14440.3</v>
      </c>
      <c r="G38" s="568">
        <f t="shared" si="4"/>
        <v>48223.600000000006</v>
      </c>
      <c r="H38" s="568">
        <v>-57578.400000000001</v>
      </c>
      <c r="I38" s="568">
        <f t="shared" si="8"/>
        <v>-9354.7999999999956</v>
      </c>
      <c r="J38" s="568">
        <f t="shared" si="9"/>
        <v>250988.6</v>
      </c>
    </row>
    <row r="39" spans="1:13" ht="11.45" customHeight="1">
      <c r="A39" s="376" t="s">
        <v>739</v>
      </c>
      <c r="B39" s="562">
        <v>263114.5</v>
      </c>
      <c r="C39" s="562">
        <v>22201</v>
      </c>
      <c r="D39" s="562">
        <v>2577.5</v>
      </c>
      <c r="E39" s="562">
        <v>4992.8</v>
      </c>
      <c r="F39" s="562">
        <v>37077.199999999997</v>
      </c>
      <c r="G39" s="562">
        <f t="shared" si="4"/>
        <v>66848.5</v>
      </c>
      <c r="H39" s="562">
        <v>-57045.5</v>
      </c>
      <c r="I39" s="562">
        <f t="shared" si="8"/>
        <v>9803</v>
      </c>
      <c r="J39" s="562">
        <f t="shared" si="9"/>
        <v>272917.5</v>
      </c>
    </row>
    <row r="40" spans="1:13" ht="11.45" customHeight="1">
      <c r="A40" s="211" t="s">
        <v>748</v>
      </c>
      <c r="B40" s="568">
        <v>265600.7</v>
      </c>
      <c r="C40" s="568">
        <v>34797.800000000003</v>
      </c>
      <c r="D40" s="568">
        <v>2577.5</v>
      </c>
      <c r="E40" s="568">
        <v>5016.5</v>
      </c>
      <c r="F40" s="568">
        <v>10366.9</v>
      </c>
      <c r="G40" s="568">
        <f t="shared" si="4"/>
        <v>52758.700000000004</v>
      </c>
      <c r="H40" s="568">
        <v>-62027.4</v>
      </c>
      <c r="I40" s="568">
        <f t="shared" si="8"/>
        <v>-9268.6999999999971</v>
      </c>
      <c r="J40" s="568">
        <f t="shared" si="9"/>
        <v>256332</v>
      </c>
      <c r="L40" s="225"/>
    </row>
    <row r="41" spans="1:13" ht="11.45" customHeight="1">
      <c r="A41" s="376" t="s">
        <v>749</v>
      </c>
      <c r="B41" s="562">
        <v>271808</v>
      </c>
      <c r="C41" s="562">
        <v>31707.4</v>
      </c>
      <c r="D41" s="562">
        <v>2566.3000000000002</v>
      </c>
      <c r="E41" s="562">
        <v>5271.6</v>
      </c>
      <c r="F41" s="562">
        <v>23658.9</v>
      </c>
      <c r="G41" s="562">
        <f t="shared" si="4"/>
        <v>63204.200000000004</v>
      </c>
      <c r="H41" s="562">
        <v>-64773.7</v>
      </c>
      <c r="I41" s="562">
        <f t="shared" si="8"/>
        <v>-1569.4999999999927</v>
      </c>
      <c r="J41" s="562">
        <f t="shared" si="9"/>
        <v>270238.5</v>
      </c>
      <c r="L41" s="225"/>
    </row>
    <row r="42" spans="1:13" ht="11.45" customHeight="1">
      <c r="A42" s="211" t="s">
        <v>740</v>
      </c>
      <c r="B42" s="568">
        <v>286040.90000000002</v>
      </c>
      <c r="C42" s="568">
        <v>42117.1</v>
      </c>
      <c r="D42" s="568">
        <v>2551.9</v>
      </c>
      <c r="E42" s="568">
        <v>5342.5</v>
      </c>
      <c r="F42" s="568">
        <v>13764.9</v>
      </c>
      <c r="G42" s="568">
        <f t="shared" si="4"/>
        <v>63776.4</v>
      </c>
      <c r="H42" s="568">
        <v>-65333.9</v>
      </c>
      <c r="I42" s="568">
        <f t="shared" si="8"/>
        <v>-1557.5</v>
      </c>
      <c r="J42" s="568">
        <f t="shared" si="9"/>
        <v>284483.40000000002</v>
      </c>
      <c r="L42" s="225"/>
      <c r="M42" s="225"/>
    </row>
    <row r="43" spans="1:13" ht="11.45" customHeight="1">
      <c r="A43" s="378" t="s">
        <v>2114</v>
      </c>
      <c r="B43" s="562"/>
      <c r="C43" s="562"/>
      <c r="D43" s="562"/>
      <c r="E43" s="562"/>
      <c r="F43" s="562"/>
      <c r="G43" s="562"/>
      <c r="H43" s="562"/>
      <c r="I43" s="562"/>
      <c r="J43" s="562"/>
      <c r="L43" s="225"/>
      <c r="M43" s="225"/>
    </row>
    <row r="44" spans="1:13" ht="11.45" customHeight="1">
      <c r="A44" s="211" t="s">
        <v>742</v>
      </c>
      <c r="B44" s="568">
        <v>297266.40000000002</v>
      </c>
      <c r="C44" s="568">
        <v>38923.9</v>
      </c>
      <c r="D44" s="568">
        <v>2502.6999999999998</v>
      </c>
      <c r="E44" s="568">
        <v>5126.3999999999996</v>
      </c>
      <c r="F44" s="568">
        <v>13989.9</v>
      </c>
      <c r="G44" s="568">
        <f t="shared" si="4"/>
        <v>60542.9</v>
      </c>
      <c r="H44" s="568">
        <v>-65896</v>
      </c>
      <c r="I44" s="568">
        <f t="shared" si="8"/>
        <v>-5353.0999999999985</v>
      </c>
      <c r="J44" s="568">
        <f t="shared" si="9"/>
        <v>291913.30000000005</v>
      </c>
      <c r="L44" s="225"/>
      <c r="M44" s="225"/>
    </row>
    <row r="45" spans="1:13" ht="11.45" customHeight="1">
      <c r="A45" s="376" t="s">
        <v>743</v>
      </c>
      <c r="B45" s="562">
        <v>307680.5</v>
      </c>
      <c r="C45" s="562">
        <v>22094.6</v>
      </c>
      <c r="D45" s="562">
        <v>2581.6</v>
      </c>
      <c r="E45" s="562">
        <v>5042.8</v>
      </c>
      <c r="F45" s="562">
        <v>9316.1</v>
      </c>
      <c r="G45" s="562">
        <f t="shared" si="4"/>
        <v>39035.1</v>
      </c>
      <c r="H45" s="562">
        <v>-64693.9</v>
      </c>
      <c r="I45" s="562">
        <f t="shared" si="8"/>
        <v>-25658.800000000003</v>
      </c>
      <c r="J45" s="562">
        <f t="shared" si="9"/>
        <v>282021.7</v>
      </c>
      <c r="L45" s="225"/>
      <c r="M45" s="225"/>
    </row>
    <row r="46" spans="1:13" ht="11.45" customHeight="1">
      <c r="A46" s="211" t="s">
        <v>737</v>
      </c>
      <c r="B46" s="568">
        <v>313613.3</v>
      </c>
      <c r="C46" s="568">
        <v>12186.7</v>
      </c>
      <c r="D46" s="568">
        <v>2584.5</v>
      </c>
      <c r="E46" s="568">
        <v>5039.2</v>
      </c>
      <c r="F46" s="568">
        <v>10135.700000000001</v>
      </c>
      <c r="G46" s="568">
        <f t="shared" si="4"/>
        <v>29946.100000000002</v>
      </c>
      <c r="H46" s="568">
        <v>-62737.8</v>
      </c>
      <c r="I46" s="568">
        <f t="shared" si="8"/>
        <v>-32791.699999999997</v>
      </c>
      <c r="J46" s="568">
        <f t="shared" si="9"/>
        <v>280821.59999999998</v>
      </c>
      <c r="L46" s="225"/>
      <c r="M46" s="225"/>
    </row>
    <row r="47" spans="1:13" ht="11.45" customHeight="1">
      <c r="A47" s="376" t="s">
        <v>744</v>
      </c>
      <c r="B47" s="562">
        <v>322383.40000000002</v>
      </c>
      <c r="C47" s="562">
        <v>11533.9</v>
      </c>
      <c r="D47" s="562">
        <v>2911.9</v>
      </c>
      <c r="E47" s="562">
        <v>5085.2</v>
      </c>
      <c r="F47" s="562">
        <v>11182.9</v>
      </c>
      <c r="G47" s="562">
        <f t="shared" si="4"/>
        <v>30713.9</v>
      </c>
      <c r="H47" s="562">
        <v>-63925.599999999999</v>
      </c>
      <c r="I47" s="562">
        <f t="shared" si="8"/>
        <v>-33211.699999999997</v>
      </c>
      <c r="J47" s="562">
        <f t="shared" si="9"/>
        <v>289171.7</v>
      </c>
      <c r="L47" s="225"/>
      <c r="M47" s="225"/>
    </row>
    <row r="48" spans="1:13" ht="11.45" customHeight="1">
      <c r="A48" s="211" t="s">
        <v>745</v>
      </c>
      <c r="B48" s="568">
        <v>330892.7</v>
      </c>
      <c r="C48" s="568">
        <v>9855.7999999999993</v>
      </c>
      <c r="D48" s="568">
        <v>2873.3</v>
      </c>
      <c r="E48" s="568">
        <v>5047.3999999999996</v>
      </c>
      <c r="F48" s="568">
        <v>13542.6</v>
      </c>
      <c r="G48" s="568">
        <f t="shared" si="4"/>
        <v>31319.1</v>
      </c>
      <c r="H48" s="568">
        <v>-65116.2</v>
      </c>
      <c r="I48" s="568">
        <f t="shared" si="8"/>
        <v>-33797.1</v>
      </c>
      <c r="J48" s="568">
        <f t="shared" si="9"/>
        <v>297095.60000000003</v>
      </c>
      <c r="L48" s="225"/>
      <c r="M48" s="225"/>
    </row>
    <row r="49" spans="1:13" ht="11.45" customHeight="1">
      <c r="A49" s="376" t="s">
        <v>738</v>
      </c>
      <c r="B49" s="562">
        <v>341180.7</v>
      </c>
      <c r="C49" s="562">
        <v>1313.5</v>
      </c>
      <c r="D49" s="562">
        <v>2832.9</v>
      </c>
      <c r="E49" s="562">
        <v>5329.2</v>
      </c>
      <c r="F49" s="562">
        <v>16134.3</v>
      </c>
      <c r="G49" s="562">
        <f t="shared" si="4"/>
        <v>25609.899999999998</v>
      </c>
      <c r="H49" s="562">
        <v>-62736.3</v>
      </c>
      <c r="I49" s="562">
        <f t="shared" si="8"/>
        <v>-37126.400000000009</v>
      </c>
      <c r="J49" s="562">
        <f t="shared" si="9"/>
        <v>304054.3</v>
      </c>
      <c r="L49" s="225"/>
      <c r="M49" s="225"/>
    </row>
    <row r="50" spans="1:13" ht="11.45" customHeight="1">
      <c r="A50" s="211" t="s">
        <v>746</v>
      </c>
      <c r="B50" s="568">
        <v>343476.8</v>
      </c>
      <c r="C50" s="568">
        <v>-206.2</v>
      </c>
      <c r="D50" s="568">
        <v>3177.5</v>
      </c>
      <c r="E50" s="568">
        <v>5363.1</v>
      </c>
      <c r="F50" s="568">
        <v>18118.7</v>
      </c>
      <c r="G50" s="568">
        <f t="shared" si="4"/>
        <v>26453.100000000002</v>
      </c>
      <c r="H50" s="568">
        <v>-68704.7</v>
      </c>
      <c r="I50" s="568">
        <f t="shared" si="8"/>
        <v>-42251.599999999991</v>
      </c>
      <c r="J50" s="568">
        <f t="shared" si="9"/>
        <v>301225.2</v>
      </c>
      <c r="L50" s="225"/>
      <c r="M50" s="225"/>
    </row>
    <row r="51" spans="1:13" ht="11.45" customHeight="1">
      <c r="A51" s="376" t="s">
        <v>747</v>
      </c>
      <c r="B51" s="562">
        <v>347148.6</v>
      </c>
      <c r="C51" s="562">
        <v>-11316.8</v>
      </c>
      <c r="D51" s="562">
        <v>3182.9</v>
      </c>
      <c r="E51" s="562">
        <v>5375.3</v>
      </c>
      <c r="F51" s="562">
        <v>18839.900000000001</v>
      </c>
      <c r="G51" s="562">
        <f t="shared" si="4"/>
        <v>16081.300000000003</v>
      </c>
      <c r="H51" s="562">
        <v>-62736.5</v>
      </c>
      <c r="I51" s="562">
        <f t="shared" si="8"/>
        <v>-46655.199999999997</v>
      </c>
      <c r="J51" s="562">
        <f t="shared" si="9"/>
        <v>300493.39999999997</v>
      </c>
      <c r="L51" s="225"/>
      <c r="M51" s="225"/>
    </row>
    <row r="52" spans="1:13" ht="11.45" customHeight="1">
      <c r="A52" s="211" t="s">
        <v>739</v>
      </c>
      <c r="B52" s="568">
        <v>346841.2</v>
      </c>
      <c r="C52" s="568">
        <v>-9799.1</v>
      </c>
      <c r="D52" s="568">
        <v>3263.5</v>
      </c>
      <c r="E52" s="568">
        <v>5459</v>
      </c>
      <c r="F52" s="568">
        <v>19075</v>
      </c>
      <c r="G52" s="568">
        <f t="shared" si="4"/>
        <v>17998.400000000001</v>
      </c>
      <c r="H52" s="568">
        <v>-61178.400000000001</v>
      </c>
      <c r="I52" s="568">
        <f t="shared" si="8"/>
        <v>-43180</v>
      </c>
      <c r="J52" s="568">
        <f t="shared" si="9"/>
        <v>303661.2</v>
      </c>
      <c r="L52" s="225"/>
      <c r="M52" s="225"/>
    </row>
    <row r="53" spans="1:13" ht="11.45" customHeight="1">
      <c r="A53" s="376" t="s">
        <v>748</v>
      </c>
      <c r="B53" s="562">
        <v>352524.2</v>
      </c>
      <c r="C53" s="562">
        <v>-1952.8</v>
      </c>
      <c r="D53" s="562">
        <v>3189.7</v>
      </c>
      <c r="E53" s="562">
        <v>5517.9</v>
      </c>
      <c r="F53" s="562">
        <v>19328.5</v>
      </c>
      <c r="G53" s="562">
        <f t="shared" si="4"/>
        <v>26083.3</v>
      </c>
      <c r="H53" s="562">
        <v>-62546.1</v>
      </c>
      <c r="I53" s="562">
        <f t="shared" si="8"/>
        <v>-36462.800000000003</v>
      </c>
      <c r="J53" s="562">
        <f t="shared" si="9"/>
        <v>316061.40000000002</v>
      </c>
      <c r="L53" s="225"/>
      <c r="M53" s="225"/>
    </row>
    <row r="54" spans="1:13" ht="11.45" customHeight="1" thickBot="1">
      <c r="A54" s="1011" t="s">
        <v>749</v>
      </c>
      <c r="B54" s="1083">
        <v>361530.9</v>
      </c>
      <c r="C54" s="1083">
        <v>-482.4</v>
      </c>
      <c r="D54" s="1083">
        <v>3212.2</v>
      </c>
      <c r="E54" s="1083">
        <v>5516.2</v>
      </c>
      <c r="F54" s="1083">
        <v>20049.5</v>
      </c>
      <c r="G54" s="1083">
        <f t="shared" si="4"/>
        <v>28295.5</v>
      </c>
      <c r="H54" s="1083">
        <v>-61973.9</v>
      </c>
      <c r="I54" s="1083">
        <f t="shared" si="8"/>
        <v>-33678.400000000001</v>
      </c>
      <c r="J54" s="1083">
        <f t="shared" si="9"/>
        <v>327852.5</v>
      </c>
      <c r="L54" s="225"/>
      <c r="M54" s="225"/>
    </row>
    <row r="55" spans="1:13">
      <c r="A55" s="635" t="s">
        <v>1800</v>
      </c>
      <c r="B55" s="331" t="s">
        <v>1637</v>
      </c>
      <c r="C55" s="331"/>
      <c r="D55" s="331"/>
      <c r="E55" s="331"/>
      <c r="F55" s="331"/>
      <c r="G55" s="331"/>
      <c r="H55" s="331"/>
      <c r="I55" s="331"/>
      <c r="J55" s="331"/>
      <c r="K55" s="225"/>
      <c r="L55" s="225"/>
    </row>
    <row r="56" spans="1:13">
      <c r="A56" s="285"/>
      <c r="B56" s="285"/>
      <c r="C56" s="285"/>
      <c r="D56" s="285"/>
      <c r="E56" s="285"/>
      <c r="F56" s="285"/>
      <c r="G56" s="285"/>
      <c r="H56" s="285"/>
      <c r="I56" s="285"/>
      <c r="J56" s="811"/>
      <c r="K56" s="225"/>
    </row>
    <row r="57" spans="1:13">
      <c r="B57" s="285"/>
    </row>
    <row r="60" spans="1:13">
      <c r="B60" s="225"/>
      <c r="C60" s="225"/>
      <c r="D60" s="225"/>
      <c r="E60" s="225"/>
      <c r="F60" s="225"/>
      <c r="G60" s="225"/>
      <c r="H60" s="225"/>
      <c r="I60" s="225"/>
      <c r="J60" s="225"/>
    </row>
    <row r="70" spans="2:10">
      <c r="B70" s="225"/>
      <c r="C70" s="225"/>
      <c r="D70" s="225"/>
      <c r="E70" s="225"/>
      <c r="F70" s="225"/>
      <c r="G70" s="225"/>
      <c r="H70" s="225"/>
      <c r="I70" s="225"/>
      <c r="J70" s="225"/>
    </row>
    <row r="71" spans="2:10">
      <c r="B71" s="225"/>
      <c r="C71" s="225"/>
      <c r="D71" s="225"/>
      <c r="E71" s="225"/>
      <c r="F71" s="225"/>
      <c r="G71" s="225"/>
      <c r="H71" s="225"/>
      <c r="I71" s="225"/>
      <c r="J71" s="225"/>
    </row>
    <row r="72" spans="2:10">
      <c r="B72" s="225"/>
      <c r="C72" s="225"/>
      <c r="D72" s="225"/>
      <c r="E72" s="225"/>
      <c r="F72" s="225"/>
      <c r="G72" s="225"/>
      <c r="H72" s="225"/>
      <c r="I72" s="225"/>
      <c r="J72" s="225"/>
    </row>
    <row r="73" spans="2:10">
      <c r="B73" s="225"/>
      <c r="C73" s="225"/>
      <c r="D73" s="225"/>
      <c r="E73" s="225"/>
      <c r="F73" s="225"/>
      <c r="G73" s="225"/>
      <c r="H73" s="225"/>
      <c r="I73" s="225"/>
      <c r="J73" s="225"/>
    </row>
    <row r="74" spans="2:10">
      <c r="B74" s="225"/>
      <c r="C74" s="225"/>
      <c r="D74" s="225"/>
      <c r="E74" s="225"/>
      <c r="F74" s="225"/>
      <c r="G74" s="225"/>
      <c r="H74" s="225"/>
      <c r="I74" s="225"/>
      <c r="J74" s="225"/>
    </row>
    <row r="75" spans="2:10">
      <c r="B75" s="225"/>
      <c r="C75" s="225"/>
      <c r="D75" s="225"/>
      <c r="E75" s="225"/>
      <c r="F75" s="225"/>
      <c r="G75" s="225"/>
      <c r="H75" s="225"/>
      <c r="I75" s="225"/>
      <c r="J75" s="225"/>
    </row>
    <row r="76" spans="2:10">
      <c r="B76" s="225"/>
      <c r="C76" s="225"/>
      <c r="D76" s="225"/>
      <c r="E76" s="225"/>
      <c r="F76" s="225"/>
      <c r="G76" s="225"/>
      <c r="H76" s="225"/>
      <c r="I76" s="225"/>
      <c r="J76" s="225"/>
    </row>
    <row r="77" spans="2:10">
      <c r="B77" s="225"/>
      <c r="C77" s="225"/>
      <c r="D77" s="225"/>
      <c r="E77" s="225"/>
      <c r="F77" s="225"/>
      <c r="G77" s="225"/>
      <c r="H77" s="225"/>
      <c r="I77" s="225"/>
      <c r="J77" s="225"/>
    </row>
    <row r="78" spans="2:10">
      <c r="B78" s="225"/>
      <c r="C78" s="225"/>
      <c r="D78" s="225"/>
      <c r="E78" s="225"/>
      <c r="F78" s="225"/>
      <c r="G78" s="225"/>
      <c r="H78" s="225"/>
      <c r="I78" s="225"/>
      <c r="J78" s="225"/>
    </row>
    <row r="79" spans="2:10">
      <c r="B79" s="225"/>
      <c r="C79" s="225"/>
      <c r="D79" s="225"/>
      <c r="E79" s="225"/>
      <c r="F79" s="225"/>
      <c r="G79" s="225"/>
      <c r="H79" s="225"/>
      <c r="I79" s="225"/>
      <c r="J79" s="225"/>
    </row>
    <row r="80" spans="2:10">
      <c r="B80" s="225"/>
      <c r="C80" s="225"/>
      <c r="D80" s="225"/>
      <c r="E80" s="225"/>
      <c r="F80" s="225"/>
      <c r="G80" s="225"/>
      <c r="H80" s="225"/>
      <c r="I80" s="225"/>
      <c r="J80" s="225"/>
    </row>
  </sheetData>
  <mergeCells count="14">
    <mergeCell ref="C4:C6"/>
    <mergeCell ref="A3:A7"/>
    <mergeCell ref="A1:H1"/>
    <mergeCell ref="F4:F6"/>
    <mergeCell ref="G4:G6"/>
    <mergeCell ref="B3:B6"/>
    <mergeCell ref="C3:G3"/>
    <mergeCell ref="H3:H6"/>
    <mergeCell ref="I1:J1"/>
    <mergeCell ref="I2:J2"/>
    <mergeCell ref="D4:D6"/>
    <mergeCell ref="E4:E6"/>
    <mergeCell ref="J3:J6"/>
    <mergeCell ref="I3:I6"/>
  </mergeCells>
  <phoneticPr fontId="54" type="noConversion"/>
  <conditionalFormatting sqref="B8:J12 A8:A16">
    <cfRule type="expression" dxfId="7" priority="41" stopIfTrue="1">
      <formula>MOD(ROW(),2)=1</formula>
    </cfRule>
    <cfRule type="expression" priority="42" stopIfTrue="1">
      <formula>MOD(ROW(),2)=1</formula>
    </cfRule>
  </conditionalFormatting>
  <conditionalFormatting sqref="A14:A16">
    <cfRule type="expression" priority="38" stopIfTrue="1">
      <formula>MOD(row,0)=0</formula>
    </cfRule>
  </conditionalFormatting>
  <conditionalFormatting sqref="A14:A16">
    <cfRule type="expression" priority="33" stopIfTrue="1">
      <formula>MOD((((#REF!))),0)=0</formula>
    </cfRule>
  </conditionalFormatting>
  <conditionalFormatting sqref="A15:A16">
    <cfRule type="expression" dxfId="6" priority="27" stopIfTrue="1">
      <formula>MOD(ROW(),2)=1</formula>
    </cfRule>
  </conditionalFormatting>
  <conditionalFormatting sqref="A15:A16">
    <cfRule type="expression" priority="24" stopIfTrue="1">
      <formula>MOD((((#REF!))),0)=0</formula>
    </cfRule>
  </conditionalFormatting>
  <pageMargins left="0.59055118110236204" right="0.511811023622047" top="0.511811023622047" bottom="0.511811023622047" header="0" footer="0.35433070866141703"/>
  <pageSetup paperSize="448" firstPageNumber="17" orientation="portrait" useFirstPageNumber="1" r:id="rId1"/>
  <headerFooter>
    <oddFooter>&amp;C&amp;"Times New Roman,Regular"&amp;8&amp;P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X82"/>
  <sheetViews>
    <sheetView zoomScale="180" zoomScaleNormal="180" workbookViewId="0">
      <pane xSplit="1" ySplit="7" topLeftCell="K52" activePane="bottomRight" state="frozen"/>
      <selection activeCell="F85" sqref="F85"/>
      <selection pane="topRight" activeCell="F85" sqref="F85"/>
      <selection pane="bottomLeft" activeCell="F85" sqref="F85"/>
      <selection pane="bottomRight" activeCell="S54" sqref="S54"/>
    </sheetView>
  </sheetViews>
  <sheetFormatPr defaultColWidth="9.140625" defaultRowHeight="11.25"/>
  <cols>
    <col min="1" max="1" width="8.42578125" style="640" customWidth="1"/>
    <col min="2" max="2" width="6.7109375" style="213" customWidth="1"/>
    <col min="3" max="3" width="5.85546875" style="213" customWidth="1"/>
    <col min="4" max="4" width="6.85546875" style="213" customWidth="1"/>
    <col min="5" max="5" width="7.28515625" style="213" customWidth="1"/>
    <col min="6" max="6" width="6.85546875" style="213" customWidth="1"/>
    <col min="7" max="7" width="5.7109375" style="213" customWidth="1"/>
    <col min="8" max="8" width="7.5703125" style="213" customWidth="1"/>
    <col min="9" max="9" width="7" style="221" customWidth="1"/>
    <col min="10" max="10" width="6.5703125" style="213" customWidth="1"/>
    <col min="11" max="11" width="5.5703125" style="213" customWidth="1"/>
    <col min="12" max="12" width="6.28515625" style="213" customWidth="1"/>
    <col min="13" max="13" width="8.42578125" style="213" customWidth="1"/>
    <col min="14" max="14" width="8.28515625" style="213" customWidth="1"/>
    <col min="15" max="15" width="8.85546875" style="213" customWidth="1"/>
    <col min="16" max="16" width="9.85546875" style="213" customWidth="1"/>
    <col min="17" max="17" width="9.7109375" style="213" customWidth="1"/>
    <col min="18" max="18" width="11.5703125" style="213" customWidth="1"/>
    <col min="19" max="19" width="10.42578125" style="213" customWidth="1"/>
    <col min="20" max="20" width="8.28515625" style="640" customWidth="1"/>
    <col min="21" max="22" width="10.85546875" style="213" bestFit="1" customWidth="1"/>
    <col min="23" max="23" width="9.140625" style="213"/>
    <col min="24" max="24" width="11.42578125" style="213" bestFit="1" customWidth="1"/>
    <col min="25" max="16384" width="9.140625" style="213"/>
  </cols>
  <sheetData>
    <row r="1" spans="1:24" s="636" customFormat="1" ht="16.5" customHeight="1">
      <c r="B1" s="637"/>
      <c r="C1" s="637"/>
      <c r="D1" s="637"/>
      <c r="E1" s="637"/>
      <c r="F1" s="637"/>
      <c r="G1" s="637"/>
      <c r="H1" s="637"/>
      <c r="I1" s="638"/>
      <c r="J1" s="1867" t="s">
        <v>605</v>
      </c>
      <c r="K1" s="1867"/>
      <c r="L1" s="1867"/>
      <c r="M1" s="1868" t="s">
        <v>1784</v>
      </c>
      <c r="N1" s="1868"/>
      <c r="O1" s="639"/>
      <c r="P1" s="639"/>
      <c r="Q1" s="639"/>
      <c r="R1" s="639"/>
      <c r="S1" s="1865" t="s">
        <v>173</v>
      </c>
      <c r="T1" s="1865"/>
    </row>
    <row r="2" spans="1:24" ht="12" customHeight="1">
      <c r="B2" s="641"/>
      <c r="C2" s="641"/>
      <c r="D2" s="641"/>
      <c r="E2" s="641"/>
      <c r="F2" s="641"/>
      <c r="G2" s="641"/>
      <c r="L2" s="641"/>
      <c r="M2" s="641"/>
      <c r="N2" s="642"/>
      <c r="O2" s="641"/>
      <c r="P2" s="641"/>
      <c r="Q2" s="641"/>
      <c r="R2" s="641"/>
      <c r="S2" s="1870" t="s">
        <v>25</v>
      </c>
      <c r="T2" s="1870"/>
    </row>
    <row r="3" spans="1:24" s="645" customFormat="1" ht="12.75" customHeight="1">
      <c r="A3" s="1879" t="s">
        <v>1200</v>
      </c>
      <c r="B3" s="1866" t="s">
        <v>664</v>
      </c>
      <c r="C3" s="1866"/>
      <c r="D3" s="1866"/>
      <c r="E3" s="1866"/>
      <c r="F3" s="1885" t="s">
        <v>753</v>
      </c>
      <c r="G3" s="1872"/>
      <c r="H3" s="1872"/>
      <c r="I3" s="1872"/>
      <c r="J3" s="1872"/>
      <c r="K3" s="1872"/>
      <c r="L3" s="1872"/>
      <c r="M3" s="1872" t="s">
        <v>752</v>
      </c>
      <c r="N3" s="1872"/>
      <c r="O3" s="1872"/>
      <c r="P3" s="643"/>
      <c r="Q3" s="1871" t="s">
        <v>1202</v>
      </c>
      <c r="R3" s="1871" t="s">
        <v>1203</v>
      </c>
      <c r="S3" s="1869" t="s">
        <v>1785</v>
      </c>
      <c r="T3" s="1874" t="s">
        <v>657</v>
      </c>
    </row>
    <row r="4" spans="1:24" s="646" customFormat="1" ht="15" customHeight="1">
      <c r="A4" s="1880"/>
      <c r="B4" s="1871" t="s">
        <v>1043</v>
      </c>
      <c r="C4" s="1878" t="s">
        <v>187</v>
      </c>
      <c r="D4" s="1874" t="s">
        <v>526</v>
      </c>
      <c r="E4" s="1871" t="s">
        <v>1044</v>
      </c>
      <c r="F4" s="1882" t="s">
        <v>571</v>
      </c>
      <c r="G4" s="1883"/>
      <c r="H4" s="1883"/>
      <c r="I4" s="1883"/>
      <c r="J4" s="1883"/>
      <c r="K4" s="1883"/>
      <c r="L4" s="1884"/>
      <c r="M4" s="1866" t="s">
        <v>781</v>
      </c>
      <c r="N4" s="1866"/>
      <c r="O4" s="1866"/>
      <c r="P4" s="1871" t="s">
        <v>1201</v>
      </c>
      <c r="Q4" s="1871"/>
      <c r="R4" s="1871"/>
      <c r="S4" s="1869"/>
      <c r="T4" s="1877"/>
    </row>
    <row r="5" spans="1:24" s="646" customFormat="1" ht="15" customHeight="1">
      <c r="A5" s="1880"/>
      <c r="B5" s="1871"/>
      <c r="C5" s="1878"/>
      <c r="D5" s="1877"/>
      <c r="E5" s="1871"/>
      <c r="F5" s="1866" t="s">
        <v>1770</v>
      </c>
      <c r="G5" s="1866"/>
      <c r="H5" s="1866"/>
      <c r="I5" s="1866"/>
      <c r="J5" s="1866" t="s">
        <v>667</v>
      </c>
      <c r="K5" s="1866"/>
      <c r="L5" s="1866"/>
      <c r="M5" s="1874" t="s">
        <v>1047</v>
      </c>
      <c r="N5" s="1874" t="s">
        <v>187</v>
      </c>
      <c r="O5" s="1874" t="s">
        <v>1048</v>
      </c>
      <c r="P5" s="1871"/>
      <c r="Q5" s="1871"/>
      <c r="R5" s="1871"/>
      <c r="S5" s="1869"/>
      <c r="T5" s="1877"/>
    </row>
    <row r="6" spans="1:24" s="646" customFormat="1" ht="34.5" customHeight="1">
      <c r="A6" s="1880"/>
      <c r="B6" s="1871"/>
      <c r="C6" s="1878"/>
      <c r="D6" s="1875"/>
      <c r="E6" s="1871"/>
      <c r="F6" s="1411" t="s">
        <v>136</v>
      </c>
      <c r="G6" s="647" t="s">
        <v>187</v>
      </c>
      <c r="H6" s="1411" t="s">
        <v>1655</v>
      </c>
      <c r="I6" s="644" t="s">
        <v>1045</v>
      </c>
      <c r="J6" s="644" t="s">
        <v>136</v>
      </c>
      <c r="K6" s="648" t="s">
        <v>187</v>
      </c>
      <c r="L6" s="644" t="s">
        <v>1046</v>
      </c>
      <c r="M6" s="1875"/>
      <c r="N6" s="1875"/>
      <c r="O6" s="1875"/>
      <c r="P6" s="1871"/>
      <c r="Q6" s="1871"/>
      <c r="R6" s="1871"/>
      <c r="S6" s="1869"/>
      <c r="T6" s="1877"/>
    </row>
    <row r="7" spans="1:24" s="650" customFormat="1" ht="10.5">
      <c r="A7" s="1881"/>
      <c r="B7" s="317">
        <v>1</v>
      </c>
      <c r="C7" s="317">
        <v>2</v>
      </c>
      <c r="D7" s="317">
        <v>3</v>
      </c>
      <c r="E7" s="317">
        <v>4</v>
      </c>
      <c r="F7" s="317">
        <v>5</v>
      </c>
      <c r="G7" s="317">
        <v>6</v>
      </c>
      <c r="H7" s="317">
        <v>7</v>
      </c>
      <c r="I7" s="317">
        <v>8</v>
      </c>
      <c r="J7" s="317">
        <v>9</v>
      </c>
      <c r="K7" s="317">
        <v>10</v>
      </c>
      <c r="L7" s="317">
        <v>11</v>
      </c>
      <c r="M7" s="317">
        <v>12</v>
      </c>
      <c r="N7" s="317">
        <v>13</v>
      </c>
      <c r="O7" s="317">
        <v>14</v>
      </c>
      <c r="P7" s="317">
        <v>15</v>
      </c>
      <c r="Q7" s="317">
        <v>16</v>
      </c>
      <c r="R7" s="317">
        <v>17</v>
      </c>
      <c r="S7" s="649">
        <v>18</v>
      </c>
      <c r="T7" s="1875"/>
    </row>
    <row r="8" spans="1:24" ht="10.35" customHeight="1">
      <c r="A8" s="307" t="s">
        <v>83</v>
      </c>
      <c r="B8" s="495">
        <v>67049.8</v>
      </c>
      <c r="C8" s="495">
        <v>-221.7</v>
      </c>
      <c r="D8" s="495">
        <v>-5768.2</v>
      </c>
      <c r="E8" s="495">
        <v>61059.900000000009</v>
      </c>
      <c r="F8" s="651">
        <v>54225</v>
      </c>
      <c r="G8" s="495">
        <v>175.5</v>
      </c>
      <c r="H8" s="495">
        <v>61381.4</v>
      </c>
      <c r="I8" s="495">
        <f t="shared" ref="I8:I10" si="0">F8+G8+H8</f>
        <v>115781.9</v>
      </c>
      <c r="J8" s="651">
        <v>12762.9</v>
      </c>
      <c r="K8" s="495">
        <v>93.8</v>
      </c>
      <c r="L8" s="495">
        <f t="shared" ref="L8:L10" si="1">J8+K8</f>
        <v>12856.699999999999</v>
      </c>
      <c r="M8" s="495">
        <v>261852</v>
      </c>
      <c r="N8" s="495">
        <v>23541.3</v>
      </c>
      <c r="O8" s="495">
        <v>285393.3</v>
      </c>
      <c r="P8" s="495">
        <f t="shared" ref="P8:P10" si="2">I8+L8+O8</f>
        <v>414031.89999999997</v>
      </c>
      <c r="Q8" s="628">
        <v>-45754.599999999977</v>
      </c>
      <c r="R8" s="495">
        <f t="shared" ref="R8:R10" si="3">P8+Q8</f>
        <v>368277.3</v>
      </c>
      <c r="S8" s="495">
        <f t="shared" ref="S8:S10" si="4">E8+R8</f>
        <v>429337.2</v>
      </c>
      <c r="T8" s="309" t="s">
        <v>83</v>
      </c>
      <c r="U8" s="225"/>
      <c r="V8" s="225"/>
      <c r="W8" s="225"/>
      <c r="X8" s="225"/>
    </row>
    <row r="9" spans="1:24" ht="10.35" customHeight="1">
      <c r="A9" s="382" t="s">
        <v>225</v>
      </c>
      <c r="B9" s="845">
        <v>70573.399999999994</v>
      </c>
      <c r="C9" s="845">
        <v>-404.7</v>
      </c>
      <c r="D9" s="845">
        <v>-6049.4</v>
      </c>
      <c r="E9" s="845">
        <v>64119.299999999996</v>
      </c>
      <c r="F9" s="846">
        <v>73200.600000000006</v>
      </c>
      <c r="G9" s="845">
        <v>372.6</v>
      </c>
      <c r="H9" s="845">
        <v>63438.3</v>
      </c>
      <c r="I9" s="845">
        <f t="shared" si="0"/>
        <v>137011.5</v>
      </c>
      <c r="J9" s="846">
        <v>16901.400000000001</v>
      </c>
      <c r="K9" s="845">
        <v>108</v>
      </c>
      <c r="L9" s="845">
        <f t="shared" si="1"/>
        <v>17009.400000000001</v>
      </c>
      <c r="M9" s="845">
        <v>332161.3</v>
      </c>
      <c r="N9" s="845">
        <v>27348.5</v>
      </c>
      <c r="O9" s="845">
        <v>359509.8</v>
      </c>
      <c r="P9" s="845">
        <f t="shared" si="2"/>
        <v>513530.69999999995</v>
      </c>
      <c r="Q9" s="844">
        <v>-67193.599999999977</v>
      </c>
      <c r="R9" s="845">
        <f t="shared" si="3"/>
        <v>446337.1</v>
      </c>
      <c r="S9" s="845">
        <f t="shared" si="4"/>
        <v>510456.39999999997</v>
      </c>
      <c r="T9" s="383" t="s">
        <v>225</v>
      </c>
      <c r="U9" s="225"/>
      <c r="V9" s="225"/>
      <c r="W9" s="225"/>
      <c r="X9" s="225"/>
    </row>
    <row r="10" spans="1:24" ht="10.35" customHeight="1">
      <c r="A10" s="307" t="s">
        <v>972</v>
      </c>
      <c r="B10" s="495">
        <v>78818.7</v>
      </c>
      <c r="C10" s="495">
        <v>-378.5</v>
      </c>
      <c r="D10" s="495">
        <v>-6273.8</v>
      </c>
      <c r="E10" s="495">
        <v>72166.399999999994</v>
      </c>
      <c r="F10" s="652">
        <v>91700.5</v>
      </c>
      <c r="G10" s="495">
        <v>261.89999999999998</v>
      </c>
      <c r="H10" s="495">
        <v>63861.3</v>
      </c>
      <c r="I10" s="495">
        <f t="shared" si="0"/>
        <v>155823.70000000001</v>
      </c>
      <c r="J10" s="652">
        <v>15284.1</v>
      </c>
      <c r="K10" s="495">
        <v>46</v>
      </c>
      <c r="L10" s="495">
        <f t="shared" si="1"/>
        <v>15330.1</v>
      </c>
      <c r="M10" s="495">
        <v>398311.5</v>
      </c>
      <c r="N10" s="495">
        <v>31174.9</v>
      </c>
      <c r="O10" s="495">
        <v>429486.4</v>
      </c>
      <c r="P10" s="495">
        <f t="shared" si="2"/>
        <v>600640.20000000007</v>
      </c>
      <c r="Q10" s="628">
        <v>-82966.200000000099</v>
      </c>
      <c r="R10" s="495">
        <f t="shared" si="3"/>
        <v>517674</v>
      </c>
      <c r="S10" s="495">
        <f t="shared" si="4"/>
        <v>589840.4</v>
      </c>
      <c r="T10" s="309" t="s">
        <v>972</v>
      </c>
      <c r="U10" s="225"/>
      <c r="V10" s="225"/>
      <c r="W10" s="225"/>
      <c r="X10" s="225"/>
    </row>
    <row r="11" spans="1:24" ht="10.35" customHeight="1">
      <c r="A11" s="382" t="s">
        <v>1107</v>
      </c>
      <c r="B11" s="845">
        <v>113250.1</v>
      </c>
      <c r="C11" s="845">
        <v>-344.5</v>
      </c>
      <c r="D11" s="845">
        <v>-6493.8</v>
      </c>
      <c r="E11" s="845">
        <v>106411.8</v>
      </c>
      <c r="F11" s="847">
        <v>110094.5</v>
      </c>
      <c r="G11" s="845">
        <v>249.7</v>
      </c>
      <c r="H11" s="845">
        <v>64634.2</v>
      </c>
      <c r="I11" s="845">
        <v>174978.4</v>
      </c>
      <c r="J11" s="847">
        <v>9376.7999999999993</v>
      </c>
      <c r="K11" s="845">
        <v>43.7</v>
      </c>
      <c r="L11" s="845">
        <v>9420.5</v>
      </c>
      <c r="M11" s="845">
        <v>440915.1</v>
      </c>
      <c r="N11" s="845">
        <v>36526.800000000003</v>
      </c>
      <c r="O11" s="845">
        <v>477441.89999999997</v>
      </c>
      <c r="P11" s="845">
        <v>661840.79999999993</v>
      </c>
      <c r="Q11" s="844">
        <v>-88069.7</v>
      </c>
      <c r="R11" s="845">
        <v>573771.1</v>
      </c>
      <c r="S11" s="845">
        <v>680182.9</v>
      </c>
      <c r="T11" s="383" t="s">
        <v>1107</v>
      </c>
      <c r="U11" s="225"/>
      <c r="V11" s="225"/>
      <c r="W11" s="225"/>
      <c r="X11" s="225"/>
    </row>
    <row r="12" spans="1:24" s="211" customFormat="1" ht="10.35" customHeight="1">
      <c r="A12" s="494" t="s">
        <v>1347</v>
      </c>
      <c r="B12" s="69">
        <v>160056.6</v>
      </c>
      <c r="C12" s="69">
        <v>-318.89999999999998</v>
      </c>
      <c r="D12" s="69">
        <v>-6695</v>
      </c>
      <c r="E12" s="69">
        <v>153042.70000000001</v>
      </c>
      <c r="F12" s="69">
        <v>117498.3</v>
      </c>
      <c r="G12" s="69">
        <v>266.89999999999998</v>
      </c>
      <c r="H12" s="69">
        <v>76341.3</v>
      </c>
      <c r="I12" s="69">
        <v>194106.5</v>
      </c>
      <c r="J12" s="69">
        <v>12612.9</v>
      </c>
      <c r="K12" s="69">
        <v>40.6</v>
      </c>
      <c r="L12" s="69">
        <v>12653.5</v>
      </c>
      <c r="M12" s="69">
        <v>493936.5</v>
      </c>
      <c r="N12" s="69">
        <v>43834.8</v>
      </c>
      <c r="O12" s="69">
        <v>537771.30000000005</v>
      </c>
      <c r="P12" s="69">
        <v>744531.3</v>
      </c>
      <c r="Q12" s="628">
        <v>-105128.7</v>
      </c>
      <c r="R12" s="69">
        <v>639402.60000000009</v>
      </c>
      <c r="S12" s="69">
        <v>792445.3</v>
      </c>
      <c r="T12" s="1086" t="s">
        <v>1347</v>
      </c>
    </row>
    <row r="13" spans="1:24" s="324" customFormat="1" ht="10.35" customHeight="1">
      <c r="A13" s="736" t="s">
        <v>1406</v>
      </c>
      <c r="B13" s="629">
        <v>189228.79999999999</v>
      </c>
      <c r="C13" s="629">
        <v>-274.10000000000002</v>
      </c>
      <c r="D13" s="629">
        <v>-7257.5</v>
      </c>
      <c r="E13" s="629">
        <v>181697.19999999998</v>
      </c>
      <c r="F13" s="629">
        <v>110224.8</v>
      </c>
      <c r="G13" s="629">
        <v>183.4</v>
      </c>
      <c r="H13" s="629">
        <v>105074</v>
      </c>
      <c r="I13" s="629">
        <v>215482.2</v>
      </c>
      <c r="J13" s="629">
        <v>16448.8</v>
      </c>
      <c r="K13" s="629">
        <v>80.3</v>
      </c>
      <c r="L13" s="629">
        <v>16529.099999999999</v>
      </c>
      <c r="M13" s="629">
        <v>557021.80000000005</v>
      </c>
      <c r="N13" s="629">
        <v>50121.5</v>
      </c>
      <c r="O13" s="629">
        <v>607143.30000000005</v>
      </c>
      <c r="P13" s="629">
        <v>839154.60000000009</v>
      </c>
      <c r="Q13" s="629">
        <v>-110802.8</v>
      </c>
      <c r="R13" s="629">
        <v>728351.8</v>
      </c>
      <c r="S13" s="629">
        <v>910049</v>
      </c>
      <c r="T13" s="694" t="s">
        <v>1406</v>
      </c>
      <c r="U13" s="294"/>
    </row>
    <row r="14" spans="1:24" s="324" customFormat="1" ht="10.35" customHeight="1">
      <c r="A14" s="669" t="s">
        <v>1560</v>
      </c>
      <c r="B14" s="603">
        <v>233135.6</v>
      </c>
      <c r="C14" s="603">
        <v>-83</v>
      </c>
      <c r="D14" s="603">
        <v>-8475.2000000000007</v>
      </c>
      <c r="E14" s="603">
        <v>224577.4</v>
      </c>
      <c r="F14" s="603">
        <v>114189.1</v>
      </c>
      <c r="G14" s="603">
        <v>-89.1</v>
      </c>
      <c r="H14" s="603">
        <v>138762.6</v>
      </c>
      <c r="I14" s="603">
        <v>252862.6</v>
      </c>
      <c r="J14" s="603">
        <v>15573</v>
      </c>
      <c r="K14" s="603">
        <v>108.3</v>
      </c>
      <c r="L14" s="603">
        <v>15681.3</v>
      </c>
      <c r="M14" s="603">
        <v>650644</v>
      </c>
      <c r="N14" s="603">
        <v>60778.8</v>
      </c>
      <c r="O14" s="603">
        <v>711422.8</v>
      </c>
      <c r="P14" s="603">
        <v>979966.70000000007</v>
      </c>
      <c r="Q14" s="603">
        <v>-127800.9</v>
      </c>
      <c r="R14" s="603">
        <v>852165.8</v>
      </c>
      <c r="S14" s="603">
        <v>1076743.2</v>
      </c>
      <c r="T14" s="670" t="s">
        <v>1560</v>
      </c>
      <c r="U14" s="294"/>
    </row>
    <row r="15" spans="1:24" s="324" customFormat="1" ht="10.35" customHeight="1">
      <c r="A15" s="736" t="s">
        <v>1596</v>
      </c>
      <c r="B15" s="629">
        <v>266697</v>
      </c>
      <c r="C15" s="629">
        <v>-46.6</v>
      </c>
      <c r="D15" s="629">
        <v>-9534.1</v>
      </c>
      <c r="E15" s="629">
        <v>257116.3</v>
      </c>
      <c r="F15" s="629">
        <v>97307.599999999991</v>
      </c>
      <c r="G15" s="629">
        <v>-108.6</v>
      </c>
      <c r="H15" s="629">
        <v>191178.6</v>
      </c>
      <c r="I15" s="629">
        <v>288377.59999999998</v>
      </c>
      <c r="J15" s="629">
        <v>16744.2</v>
      </c>
      <c r="K15" s="629">
        <v>142.6</v>
      </c>
      <c r="L15" s="629">
        <v>16886.8</v>
      </c>
      <c r="M15" s="629">
        <v>752988.79999999993</v>
      </c>
      <c r="N15" s="629">
        <v>71394.7</v>
      </c>
      <c r="O15" s="629">
        <v>824383.49999999988</v>
      </c>
      <c r="P15" s="629">
        <v>1129647.8999999999</v>
      </c>
      <c r="Q15" s="629">
        <v>-153298.70000000001</v>
      </c>
      <c r="R15" s="629">
        <v>976349.2</v>
      </c>
      <c r="S15" s="629">
        <v>1233465.5</v>
      </c>
      <c r="T15" s="694" t="s">
        <v>1596</v>
      </c>
      <c r="U15" s="294"/>
    </row>
    <row r="16" spans="1:24" s="324" customFormat="1" ht="10.35" customHeight="1">
      <c r="A16" s="707" t="s">
        <v>1756</v>
      </c>
      <c r="B16" s="708">
        <v>264674.5</v>
      </c>
      <c r="C16" s="708">
        <v>-20.5</v>
      </c>
      <c r="D16" s="708">
        <v>-11436.5</v>
      </c>
      <c r="E16" s="708">
        <v>253217.5</v>
      </c>
      <c r="F16" s="708">
        <v>94869.599999999991</v>
      </c>
      <c r="G16" s="708">
        <v>-3111.6</v>
      </c>
      <c r="H16" s="708">
        <v>237765</v>
      </c>
      <c r="I16" s="708">
        <v>329523</v>
      </c>
      <c r="J16" s="708">
        <v>11337.8</v>
      </c>
      <c r="K16" s="708">
        <v>787.8</v>
      </c>
      <c r="L16" s="708">
        <v>12125.599999999999</v>
      </c>
      <c r="M16" s="708">
        <v>880749.5</v>
      </c>
      <c r="N16" s="708">
        <v>89467</v>
      </c>
      <c r="O16" s="708">
        <v>970216.5</v>
      </c>
      <c r="P16" s="708">
        <v>1311865.1000000001</v>
      </c>
      <c r="Q16" s="708">
        <v>-191334.1</v>
      </c>
      <c r="R16" s="708">
        <v>1120531</v>
      </c>
      <c r="S16" s="708">
        <v>1373748.5</v>
      </c>
      <c r="T16" s="709" t="s">
        <v>1756</v>
      </c>
      <c r="U16" s="294"/>
    </row>
    <row r="17" spans="1:21" s="324" customFormat="1" ht="10.35" customHeight="1">
      <c r="A17" s="449" t="s">
        <v>1904</v>
      </c>
      <c r="B17" s="848">
        <f>B29</f>
        <v>272399.5</v>
      </c>
      <c r="C17" s="848">
        <f t="shared" ref="C17:S17" si="5">C29</f>
        <v>-155.1</v>
      </c>
      <c r="D17" s="848">
        <f t="shared" si="5"/>
        <v>-12662.8</v>
      </c>
      <c r="E17" s="848">
        <f t="shared" si="5"/>
        <v>259581.6</v>
      </c>
      <c r="F17" s="848">
        <f t="shared" si="5"/>
        <v>113248.3</v>
      </c>
      <c r="G17" s="848">
        <f t="shared" si="5"/>
        <v>-2534.3000000000002</v>
      </c>
      <c r="H17" s="848">
        <f t="shared" si="5"/>
        <v>287704.5</v>
      </c>
      <c r="I17" s="848">
        <f t="shared" si="5"/>
        <v>398418.5</v>
      </c>
      <c r="J17" s="848">
        <f t="shared" si="5"/>
        <v>13590.7</v>
      </c>
      <c r="K17" s="848">
        <f t="shared" si="5"/>
        <v>1239.4000000000001</v>
      </c>
      <c r="L17" s="848">
        <f t="shared" si="5"/>
        <v>14830.1</v>
      </c>
      <c r="M17" s="848">
        <f t="shared" si="5"/>
        <v>985443.3</v>
      </c>
      <c r="N17" s="848">
        <f t="shared" si="5"/>
        <v>93123</v>
      </c>
      <c r="O17" s="848">
        <f t="shared" si="5"/>
        <v>1078566.3</v>
      </c>
      <c r="P17" s="848">
        <f t="shared" si="5"/>
        <v>1491814.9</v>
      </c>
      <c r="Q17" s="848">
        <f t="shared" si="5"/>
        <v>-217369.60000000001</v>
      </c>
      <c r="R17" s="848">
        <f t="shared" si="5"/>
        <v>1274445.2999999998</v>
      </c>
      <c r="S17" s="848">
        <f t="shared" si="5"/>
        <v>1534026.9</v>
      </c>
      <c r="T17" s="450" t="s">
        <v>1904</v>
      </c>
      <c r="U17" s="294"/>
    </row>
    <row r="18" spans="1:21" s="324" customFormat="1" ht="10.35" customHeight="1">
      <c r="A18" s="322" t="s">
        <v>742</v>
      </c>
      <c r="B18" s="603">
        <f>251973.1+11327.6</f>
        <v>263300.7</v>
      </c>
      <c r="C18" s="603">
        <v>-20.5</v>
      </c>
      <c r="D18" s="294">
        <v>-11623.5</v>
      </c>
      <c r="E18" s="294">
        <f t="shared" ref="E18:E54" si="6">D18+C18+B18</f>
        <v>251656.7</v>
      </c>
      <c r="F18" s="603">
        <f>12131.7+85040</f>
        <v>97171.7</v>
      </c>
      <c r="G18" s="603">
        <v>-3154.5</v>
      </c>
      <c r="H18" s="294">
        <v>242800.7</v>
      </c>
      <c r="I18" s="294">
        <f t="shared" ref="I18:I54" si="7">H18+G18+F18</f>
        <v>336817.9</v>
      </c>
      <c r="J18" s="603">
        <f>1596.2+9946.9</f>
        <v>11543.1</v>
      </c>
      <c r="K18" s="603">
        <v>788.1</v>
      </c>
      <c r="L18" s="603">
        <f t="shared" ref="L18:L54" si="8">J18+K18</f>
        <v>12331.2</v>
      </c>
      <c r="M18" s="603">
        <f>4119.1+870520</f>
        <v>874639.1</v>
      </c>
      <c r="N18" s="603">
        <v>88902.5</v>
      </c>
      <c r="O18" s="603">
        <f t="shared" ref="O18:O27" si="9">M18+N18</f>
        <v>963541.6</v>
      </c>
      <c r="P18" s="603">
        <f t="shared" ref="P18:P27" si="10">I18+L18+O18</f>
        <v>1312690.7</v>
      </c>
      <c r="Q18" s="603">
        <v>-189656.9</v>
      </c>
      <c r="R18" s="603">
        <f t="shared" ref="R18:R22" si="11">P18+Q18</f>
        <v>1123033.8</v>
      </c>
      <c r="S18" s="294">
        <f t="shared" ref="S18:S22" si="12">E18+R18</f>
        <v>1374690.5</v>
      </c>
      <c r="T18" s="474" t="s">
        <v>742</v>
      </c>
      <c r="U18" s="294"/>
    </row>
    <row r="19" spans="1:21" ht="10.35" customHeight="1">
      <c r="A19" s="399" t="s">
        <v>743</v>
      </c>
      <c r="B19" s="629">
        <f>254675.2+12613.9</f>
        <v>267289.10000000003</v>
      </c>
      <c r="C19" s="629">
        <v>-15.5</v>
      </c>
      <c r="D19" s="361">
        <v>-11712.5</v>
      </c>
      <c r="E19" s="361">
        <f t="shared" si="6"/>
        <v>255561.10000000003</v>
      </c>
      <c r="F19" s="629">
        <f>17116.9+84549.3</f>
        <v>101666.20000000001</v>
      </c>
      <c r="G19" s="629">
        <v>-3250.7</v>
      </c>
      <c r="H19" s="361">
        <v>246822.2</v>
      </c>
      <c r="I19" s="361">
        <f t="shared" si="7"/>
        <v>345237.7</v>
      </c>
      <c r="J19" s="629">
        <f>1597.8+9812.7</f>
        <v>11410.5</v>
      </c>
      <c r="K19" s="629">
        <v>783.4</v>
      </c>
      <c r="L19" s="629">
        <f t="shared" si="8"/>
        <v>12193.9</v>
      </c>
      <c r="M19" s="629">
        <f>4103.3+880066.1</f>
        <v>884169.4</v>
      </c>
      <c r="N19" s="629">
        <v>88786</v>
      </c>
      <c r="O19" s="629">
        <f t="shared" si="9"/>
        <v>972955.4</v>
      </c>
      <c r="P19" s="361">
        <f t="shared" si="10"/>
        <v>1330387</v>
      </c>
      <c r="Q19" s="361">
        <v>-189024.7</v>
      </c>
      <c r="R19" s="629">
        <f t="shared" si="11"/>
        <v>1141362.3</v>
      </c>
      <c r="S19" s="629">
        <f t="shared" si="12"/>
        <v>1396923.4000000001</v>
      </c>
      <c r="T19" s="439" t="s">
        <v>743</v>
      </c>
      <c r="U19" s="225"/>
    </row>
    <row r="20" spans="1:21" ht="10.35" customHeight="1">
      <c r="A20" s="322" t="s">
        <v>737</v>
      </c>
      <c r="B20" s="603">
        <f>251729.4+13507.3</f>
        <v>265236.7</v>
      </c>
      <c r="C20" s="603">
        <v>-15.5</v>
      </c>
      <c r="D20" s="294">
        <v>-11807.6</v>
      </c>
      <c r="E20" s="294">
        <f t="shared" si="6"/>
        <v>253413.6</v>
      </c>
      <c r="F20" s="603">
        <f>10446.5+85226.7</f>
        <v>95673.2</v>
      </c>
      <c r="G20" s="603">
        <v>-3249.3</v>
      </c>
      <c r="H20" s="294">
        <v>251177</v>
      </c>
      <c r="I20" s="294">
        <f t="shared" si="7"/>
        <v>343600.9</v>
      </c>
      <c r="J20" s="603">
        <f>1599.3+10042.8</f>
        <v>11642.099999999999</v>
      </c>
      <c r="K20" s="603">
        <v>780.9</v>
      </c>
      <c r="L20" s="603">
        <f t="shared" si="8"/>
        <v>12422.999999999998</v>
      </c>
      <c r="M20" s="603">
        <f>4057+888313.8</f>
        <v>892370.8</v>
      </c>
      <c r="N20" s="603">
        <v>89280.6</v>
      </c>
      <c r="O20" s="603">
        <f t="shared" si="9"/>
        <v>981651.4</v>
      </c>
      <c r="P20" s="294">
        <f t="shared" si="10"/>
        <v>1337675.3</v>
      </c>
      <c r="Q20" s="294">
        <v>-194276.8</v>
      </c>
      <c r="R20" s="294">
        <f t="shared" si="11"/>
        <v>1143398.5</v>
      </c>
      <c r="S20" s="294">
        <f t="shared" si="12"/>
        <v>1396812.1</v>
      </c>
      <c r="T20" s="474" t="s">
        <v>737</v>
      </c>
      <c r="U20" s="225"/>
    </row>
    <row r="21" spans="1:21" ht="10.35" customHeight="1">
      <c r="A21" s="399" t="s">
        <v>744</v>
      </c>
      <c r="B21" s="629">
        <f>248150.4+12242.9</f>
        <v>260393.3</v>
      </c>
      <c r="C21" s="629">
        <v>-15.5</v>
      </c>
      <c r="D21" s="361">
        <v>-11910.1</v>
      </c>
      <c r="E21" s="361">
        <f t="shared" si="6"/>
        <v>248467.69999999998</v>
      </c>
      <c r="F21" s="629">
        <f>14507.2+81151.7</f>
        <v>95658.9</v>
      </c>
      <c r="G21" s="629">
        <v>-2776.5</v>
      </c>
      <c r="H21" s="361">
        <v>255593.8</v>
      </c>
      <c r="I21" s="361">
        <f t="shared" si="7"/>
        <v>348476.19999999995</v>
      </c>
      <c r="J21" s="629">
        <f>1601.1+10562.3</f>
        <v>12163.4</v>
      </c>
      <c r="K21" s="629">
        <v>782.2</v>
      </c>
      <c r="L21" s="629">
        <f t="shared" si="8"/>
        <v>12945.6</v>
      </c>
      <c r="M21" s="629">
        <f>4026.9+901582.3</f>
        <v>905609.20000000007</v>
      </c>
      <c r="N21" s="629">
        <v>89794.3</v>
      </c>
      <c r="O21" s="629">
        <f t="shared" si="9"/>
        <v>995403.50000000012</v>
      </c>
      <c r="P21" s="629">
        <f t="shared" si="10"/>
        <v>1356825.3</v>
      </c>
      <c r="Q21" s="361">
        <v>-197398.1</v>
      </c>
      <c r="R21" s="361">
        <f t="shared" si="11"/>
        <v>1159427.2</v>
      </c>
      <c r="S21" s="361">
        <f t="shared" si="12"/>
        <v>1407894.9</v>
      </c>
      <c r="T21" s="439" t="s">
        <v>744</v>
      </c>
      <c r="U21" s="225"/>
    </row>
    <row r="22" spans="1:21" ht="10.35" customHeight="1">
      <c r="A22" s="322" t="s">
        <v>745</v>
      </c>
      <c r="B22" s="603">
        <f>245304.3+12402.6</f>
        <v>257706.9</v>
      </c>
      <c r="C22" s="603">
        <v>-15.5</v>
      </c>
      <c r="D22" s="294">
        <v>-12028.5</v>
      </c>
      <c r="E22" s="294">
        <f t="shared" si="6"/>
        <v>245662.9</v>
      </c>
      <c r="F22" s="603">
        <f>15583.1+82178.2</f>
        <v>97761.3</v>
      </c>
      <c r="G22" s="603">
        <v>-2735.5</v>
      </c>
      <c r="H22" s="294">
        <v>259426.9</v>
      </c>
      <c r="I22" s="294">
        <f t="shared" si="7"/>
        <v>354452.7</v>
      </c>
      <c r="J22" s="603">
        <f>1602.7+11319.7</f>
        <v>12922.400000000001</v>
      </c>
      <c r="K22" s="603">
        <v>841.7</v>
      </c>
      <c r="L22" s="603">
        <f t="shared" si="8"/>
        <v>13764.100000000002</v>
      </c>
      <c r="M22" s="603">
        <f>4010.3+911689.9</f>
        <v>915700.20000000007</v>
      </c>
      <c r="N22" s="603">
        <v>90666.2</v>
      </c>
      <c r="O22" s="603">
        <f t="shared" si="9"/>
        <v>1006366.4</v>
      </c>
      <c r="P22" s="603">
        <f t="shared" si="10"/>
        <v>1374583.2</v>
      </c>
      <c r="Q22" s="294">
        <v>-202666.5</v>
      </c>
      <c r="R22" s="294">
        <f t="shared" si="11"/>
        <v>1171916.7</v>
      </c>
      <c r="S22" s="294">
        <f t="shared" si="12"/>
        <v>1417579.5999999999</v>
      </c>
      <c r="T22" s="474" t="s">
        <v>745</v>
      </c>
      <c r="U22" s="225"/>
    </row>
    <row r="23" spans="1:21" ht="10.35" customHeight="1">
      <c r="A23" s="399" t="s">
        <v>738</v>
      </c>
      <c r="B23" s="629">
        <f>247691.7+17008.5</f>
        <v>264700.2</v>
      </c>
      <c r="C23" s="629">
        <v>0</v>
      </c>
      <c r="D23" s="361">
        <v>-11995.8</v>
      </c>
      <c r="E23" s="361">
        <f t="shared" si="6"/>
        <v>252704.40000000002</v>
      </c>
      <c r="F23" s="629">
        <f>21067.4+77062.5</f>
        <v>98129.9</v>
      </c>
      <c r="G23" s="629">
        <v>-2709.8</v>
      </c>
      <c r="H23" s="361">
        <v>262758.59999999998</v>
      </c>
      <c r="I23" s="361">
        <f t="shared" si="7"/>
        <v>358178.69999999995</v>
      </c>
      <c r="J23" s="629">
        <f>1604.4+12212.5</f>
        <v>13816.9</v>
      </c>
      <c r="K23" s="629">
        <v>1236</v>
      </c>
      <c r="L23" s="629">
        <f t="shared" si="8"/>
        <v>15052.9</v>
      </c>
      <c r="M23" s="629">
        <f>4061.8+928364.2</f>
        <v>932426</v>
      </c>
      <c r="N23" s="629">
        <v>91704.2</v>
      </c>
      <c r="O23" s="629">
        <f t="shared" si="9"/>
        <v>1024130.2</v>
      </c>
      <c r="P23" s="629">
        <f t="shared" si="10"/>
        <v>1397361.7999999998</v>
      </c>
      <c r="Q23" s="361">
        <v>-204765.4</v>
      </c>
      <c r="R23" s="361">
        <f t="shared" ref="R23:R24" si="13">P23+Q23</f>
        <v>1192596.3999999999</v>
      </c>
      <c r="S23" s="361">
        <f t="shared" ref="S23:S24" si="14">E23+R23</f>
        <v>1445300.7999999998</v>
      </c>
      <c r="T23" s="439" t="s">
        <v>738</v>
      </c>
      <c r="U23" s="225"/>
    </row>
    <row r="24" spans="1:21" ht="10.35" customHeight="1">
      <c r="A24" s="322" t="s">
        <v>746</v>
      </c>
      <c r="B24" s="603">
        <f>245563.2+13415.6</f>
        <v>258978.80000000002</v>
      </c>
      <c r="C24" s="603">
        <v>-164.9</v>
      </c>
      <c r="D24" s="294">
        <v>-12104.9</v>
      </c>
      <c r="E24" s="294">
        <f t="shared" si="6"/>
        <v>246709.00000000003</v>
      </c>
      <c r="F24" s="603">
        <f>17669.8+81236.8</f>
        <v>98906.6</v>
      </c>
      <c r="G24" s="603">
        <v>-2716.4</v>
      </c>
      <c r="H24" s="294">
        <v>268761.40000000002</v>
      </c>
      <c r="I24" s="294">
        <f t="shared" si="7"/>
        <v>364951.6</v>
      </c>
      <c r="J24" s="603">
        <f>1594.5+13011.6</f>
        <v>14606.1</v>
      </c>
      <c r="K24" s="603">
        <v>1233.9000000000001</v>
      </c>
      <c r="L24" s="603">
        <f t="shared" si="8"/>
        <v>15840</v>
      </c>
      <c r="M24" s="603">
        <f>4017.9+932969.8</f>
        <v>936987.70000000007</v>
      </c>
      <c r="N24" s="603">
        <v>92816.2</v>
      </c>
      <c r="O24" s="603">
        <f t="shared" si="9"/>
        <v>1029803.9</v>
      </c>
      <c r="P24" s="603">
        <f t="shared" si="10"/>
        <v>1410595.5</v>
      </c>
      <c r="Q24" s="603">
        <v>-206821.4</v>
      </c>
      <c r="R24" s="294">
        <f t="shared" si="13"/>
        <v>1203774.1000000001</v>
      </c>
      <c r="S24" s="294">
        <f t="shared" si="14"/>
        <v>1450483.1</v>
      </c>
      <c r="T24" s="474" t="s">
        <v>746</v>
      </c>
      <c r="U24" s="225"/>
    </row>
    <row r="25" spans="1:21" ht="10.35" customHeight="1">
      <c r="A25" s="399" t="s">
        <v>747</v>
      </c>
      <c r="B25" s="629">
        <f>250320.8+15120.6</f>
        <v>265441.39999999997</v>
      </c>
      <c r="C25" s="629">
        <v>-164.9</v>
      </c>
      <c r="D25" s="361">
        <v>-12197.6</v>
      </c>
      <c r="E25" s="361">
        <f t="shared" si="6"/>
        <v>253078.89999999997</v>
      </c>
      <c r="F25" s="629">
        <f>13370.8+79549.7</f>
        <v>92920.5</v>
      </c>
      <c r="G25" s="629">
        <v>-2724.7</v>
      </c>
      <c r="H25" s="361">
        <v>273367.5</v>
      </c>
      <c r="I25" s="361">
        <f t="shared" si="7"/>
        <v>363563.3</v>
      </c>
      <c r="J25" s="629">
        <f>1597.8+12874.1</f>
        <v>14471.9</v>
      </c>
      <c r="K25" s="629">
        <v>1238.5</v>
      </c>
      <c r="L25" s="629">
        <f t="shared" si="8"/>
        <v>15710.4</v>
      </c>
      <c r="M25" s="629">
        <f>3909.2+940855.8</f>
        <v>944765</v>
      </c>
      <c r="N25" s="629">
        <v>93126.8</v>
      </c>
      <c r="O25" s="629">
        <f t="shared" si="9"/>
        <v>1037891.8</v>
      </c>
      <c r="P25" s="629">
        <f t="shared" si="10"/>
        <v>1417165.5</v>
      </c>
      <c r="Q25" s="629">
        <v>-208046.8</v>
      </c>
      <c r="R25" s="361">
        <f t="shared" ref="R25" si="15">P25+Q25</f>
        <v>1209118.7</v>
      </c>
      <c r="S25" s="361">
        <f t="shared" ref="S25" si="16">E25+R25</f>
        <v>1462197.5999999999</v>
      </c>
      <c r="T25" s="439" t="s">
        <v>747</v>
      </c>
      <c r="U25" s="225"/>
    </row>
    <row r="26" spans="1:21" ht="10.35" customHeight="1">
      <c r="A26" s="322" t="s">
        <v>739</v>
      </c>
      <c r="B26" s="603">
        <f>251391.3+18081.8</f>
        <v>269473.09999999998</v>
      </c>
      <c r="C26" s="603">
        <v>-164.9</v>
      </c>
      <c r="D26" s="294">
        <v>-12331.1</v>
      </c>
      <c r="E26" s="294">
        <f t="shared" si="6"/>
        <v>256977.09999999998</v>
      </c>
      <c r="F26" s="603">
        <f>11760.6+80727.4</f>
        <v>92488</v>
      </c>
      <c r="G26" s="603">
        <v>-2692.3</v>
      </c>
      <c r="H26" s="294">
        <v>277498.2</v>
      </c>
      <c r="I26" s="294">
        <f t="shared" si="7"/>
        <v>367293.9</v>
      </c>
      <c r="J26" s="603">
        <f>1597.8+12886.9</f>
        <v>14484.699999999999</v>
      </c>
      <c r="K26" s="603">
        <v>1236.7</v>
      </c>
      <c r="L26" s="603">
        <f t="shared" si="8"/>
        <v>15721.4</v>
      </c>
      <c r="M26" s="603">
        <f>3956+950723.6</f>
        <v>954679.6</v>
      </c>
      <c r="N26" s="603">
        <v>93508.800000000003</v>
      </c>
      <c r="O26" s="603">
        <f t="shared" si="9"/>
        <v>1048188.4</v>
      </c>
      <c r="P26" s="603">
        <f t="shared" si="10"/>
        <v>1431203.7000000002</v>
      </c>
      <c r="Q26" s="603">
        <v>-213756.2</v>
      </c>
      <c r="R26" s="603">
        <f t="shared" ref="R26" si="17">P26+Q26</f>
        <v>1217447.5000000002</v>
      </c>
      <c r="S26" s="603">
        <f t="shared" ref="S26" si="18">E26+R26</f>
        <v>1474424.6</v>
      </c>
      <c r="T26" s="474" t="s">
        <v>739</v>
      </c>
      <c r="U26" s="225"/>
    </row>
    <row r="27" spans="1:21" ht="10.35" customHeight="1">
      <c r="A27" s="399" t="s">
        <v>748</v>
      </c>
      <c r="B27" s="629">
        <f>249633.4+13454.1</f>
        <v>263087.5</v>
      </c>
      <c r="C27" s="629">
        <v>-155.1</v>
      </c>
      <c r="D27" s="361">
        <v>-12435</v>
      </c>
      <c r="E27" s="361">
        <f t="shared" si="6"/>
        <v>250497.4</v>
      </c>
      <c r="F27" s="629">
        <f>16694.9+76559.5</f>
        <v>93254.399999999994</v>
      </c>
      <c r="G27" s="629">
        <v>-2625</v>
      </c>
      <c r="H27" s="361">
        <v>281239.5</v>
      </c>
      <c r="I27" s="361">
        <f t="shared" si="7"/>
        <v>371868.9</v>
      </c>
      <c r="J27" s="629">
        <f>1601.1+12218.1</f>
        <v>13819.2</v>
      </c>
      <c r="K27" s="629">
        <v>1237.2</v>
      </c>
      <c r="L27" s="629">
        <f t="shared" si="8"/>
        <v>15056.400000000001</v>
      </c>
      <c r="M27" s="629">
        <f>3929.3+959088</f>
        <v>963017.3</v>
      </c>
      <c r="N27" s="629">
        <v>93503.4</v>
      </c>
      <c r="O27" s="629">
        <f t="shared" si="9"/>
        <v>1056520.7</v>
      </c>
      <c r="P27" s="629">
        <f t="shared" si="10"/>
        <v>1443446</v>
      </c>
      <c r="Q27" s="629">
        <v>-213228.1</v>
      </c>
      <c r="R27" s="629">
        <f t="shared" ref="R27" si="19">P27+Q27</f>
        <v>1230217.8999999999</v>
      </c>
      <c r="S27" s="629">
        <f t="shared" ref="S27" si="20">E27+R27</f>
        <v>1480715.2999999998</v>
      </c>
      <c r="T27" s="439" t="s">
        <v>748</v>
      </c>
      <c r="U27" s="225"/>
    </row>
    <row r="28" spans="1:21" ht="10.35" customHeight="1">
      <c r="A28" s="322" t="s">
        <v>749</v>
      </c>
      <c r="B28" s="603">
        <f>248731+16078.8</f>
        <v>264809.8</v>
      </c>
      <c r="C28" s="603">
        <v>-155.6</v>
      </c>
      <c r="D28" s="294">
        <v>-12571.8</v>
      </c>
      <c r="E28" s="294">
        <f t="shared" si="6"/>
        <v>252082.4</v>
      </c>
      <c r="F28" s="603">
        <f>33722.6+79332.8</f>
        <v>113055.4</v>
      </c>
      <c r="G28" s="603">
        <v>-2762.7</v>
      </c>
      <c r="H28" s="294">
        <v>284496.3</v>
      </c>
      <c r="I28" s="294">
        <f t="shared" si="7"/>
        <v>394789</v>
      </c>
      <c r="J28" s="603">
        <f>1601.1+13042.1</f>
        <v>14643.2</v>
      </c>
      <c r="K28" s="603">
        <v>1239.7</v>
      </c>
      <c r="L28" s="603">
        <f t="shared" si="8"/>
        <v>15882.900000000001</v>
      </c>
      <c r="M28" s="603">
        <f>3918.6+972627.7</f>
        <v>976546.29999999993</v>
      </c>
      <c r="N28" s="603">
        <v>93453.2</v>
      </c>
      <c r="O28" s="603">
        <f t="shared" ref="O28:O54" si="21">M28+N28</f>
        <v>1069999.5</v>
      </c>
      <c r="P28" s="603">
        <f t="shared" ref="P28:P47" si="22">I28+L28+O28</f>
        <v>1480671.4</v>
      </c>
      <c r="Q28" s="603">
        <v>-215598.3</v>
      </c>
      <c r="R28" s="603">
        <f t="shared" ref="R28" si="23">P28+Q28</f>
        <v>1265073.0999999999</v>
      </c>
      <c r="S28" s="603">
        <f t="shared" ref="S28" si="24">E28+R28</f>
        <v>1517155.4999999998</v>
      </c>
      <c r="T28" s="474" t="s">
        <v>749</v>
      </c>
      <c r="U28" s="225"/>
    </row>
    <row r="29" spans="1:21" ht="10.35" customHeight="1">
      <c r="A29" s="399" t="s">
        <v>740</v>
      </c>
      <c r="B29" s="629">
        <f>257195.4+15204.1</f>
        <v>272399.5</v>
      </c>
      <c r="C29" s="629">
        <v>-155.1</v>
      </c>
      <c r="D29" s="361">
        <v>-12662.8</v>
      </c>
      <c r="E29" s="361">
        <f t="shared" si="6"/>
        <v>259581.6</v>
      </c>
      <c r="F29" s="629">
        <f>31189+82059.3</f>
        <v>113248.3</v>
      </c>
      <c r="G29" s="629">
        <v>-2534.3000000000002</v>
      </c>
      <c r="H29" s="361">
        <v>287704.5</v>
      </c>
      <c r="I29" s="361">
        <f t="shared" si="7"/>
        <v>398418.5</v>
      </c>
      <c r="J29" s="629">
        <f>1600.7+11990</f>
        <v>13590.7</v>
      </c>
      <c r="K29" s="629">
        <v>1239.4000000000001</v>
      </c>
      <c r="L29" s="629">
        <f t="shared" si="8"/>
        <v>14830.1</v>
      </c>
      <c r="M29" s="629">
        <f>3937+981506.3</f>
        <v>985443.3</v>
      </c>
      <c r="N29" s="629">
        <v>93123</v>
      </c>
      <c r="O29" s="629">
        <f t="shared" si="21"/>
        <v>1078566.3</v>
      </c>
      <c r="P29" s="629">
        <f t="shared" si="22"/>
        <v>1491814.9</v>
      </c>
      <c r="Q29" s="629">
        <v>-217369.60000000001</v>
      </c>
      <c r="R29" s="629">
        <f t="shared" ref="R29" si="25">P29+Q29</f>
        <v>1274445.2999999998</v>
      </c>
      <c r="S29" s="629">
        <f t="shared" ref="S29" si="26">E29+R29</f>
        <v>1534026.9</v>
      </c>
      <c r="T29" s="439" t="s">
        <v>740</v>
      </c>
      <c r="U29" s="225"/>
    </row>
    <row r="30" spans="1:21" ht="10.35" customHeight="1">
      <c r="A30" s="243" t="s">
        <v>2017</v>
      </c>
      <c r="B30" s="708">
        <f>B42</f>
        <v>297336.2</v>
      </c>
      <c r="C30" s="708">
        <f t="shared" ref="C30:S30" si="27">C42</f>
        <v>-113.1</v>
      </c>
      <c r="D30" s="708">
        <f t="shared" si="27"/>
        <v>-13909.2</v>
      </c>
      <c r="E30" s="708">
        <f t="shared" si="27"/>
        <v>283313.90000000002</v>
      </c>
      <c r="F30" s="708">
        <f t="shared" si="27"/>
        <v>181119.4</v>
      </c>
      <c r="G30" s="708">
        <f t="shared" si="27"/>
        <v>71.3</v>
      </c>
      <c r="H30" s="708">
        <f t="shared" si="27"/>
        <v>302132.8</v>
      </c>
      <c r="I30" s="708">
        <f t="shared" si="27"/>
        <v>483323.5</v>
      </c>
      <c r="J30" s="708">
        <f t="shared" si="27"/>
        <v>19200.800000000003</v>
      </c>
      <c r="K30" s="708">
        <f t="shared" si="27"/>
        <v>1285.2</v>
      </c>
      <c r="L30" s="708">
        <f t="shared" si="27"/>
        <v>20486.000000000004</v>
      </c>
      <c r="M30" s="708">
        <f t="shared" si="27"/>
        <v>1075226.5</v>
      </c>
      <c r="N30" s="708">
        <f t="shared" si="27"/>
        <v>91712.4</v>
      </c>
      <c r="O30" s="708">
        <f t="shared" si="27"/>
        <v>1166938.8999999999</v>
      </c>
      <c r="P30" s="708">
        <f t="shared" si="27"/>
        <v>1670748.4</v>
      </c>
      <c r="Q30" s="708">
        <f t="shared" si="27"/>
        <v>-250124.9</v>
      </c>
      <c r="R30" s="708">
        <f t="shared" si="27"/>
        <v>1420623.5</v>
      </c>
      <c r="S30" s="708">
        <f t="shared" si="27"/>
        <v>1703937.4</v>
      </c>
      <c r="T30" s="577" t="s">
        <v>2017</v>
      </c>
      <c r="U30" s="225"/>
    </row>
    <row r="31" spans="1:21" ht="10.35" customHeight="1">
      <c r="A31" s="376" t="s">
        <v>742</v>
      </c>
      <c r="B31" s="629">
        <f>255655.5+17122.2</f>
        <v>272777.7</v>
      </c>
      <c r="C31" s="629">
        <v>-145</v>
      </c>
      <c r="D31" s="361">
        <v>-12827.1</v>
      </c>
      <c r="E31" s="361">
        <f t="shared" si="6"/>
        <v>259805.6</v>
      </c>
      <c r="F31" s="629">
        <f>29485.4+100464.7</f>
        <v>129950.1</v>
      </c>
      <c r="G31" s="629">
        <v>-2570.8000000000002</v>
      </c>
      <c r="H31" s="361">
        <v>289917.09999999998</v>
      </c>
      <c r="I31" s="361">
        <f t="shared" si="7"/>
        <v>417296.4</v>
      </c>
      <c r="J31" s="629">
        <f>1594.5+12924.6</f>
        <v>14519.1</v>
      </c>
      <c r="K31" s="629">
        <v>1237.3</v>
      </c>
      <c r="L31" s="629">
        <f t="shared" si="8"/>
        <v>15756.4</v>
      </c>
      <c r="M31" s="629">
        <f>3945.7+974332.1</f>
        <v>978277.79999999993</v>
      </c>
      <c r="N31" s="629">
        <v>92725.5</v>
      </c>
      <c r="O31" s="629">
        <f t="shared" si="21"/>
        <v>1071003.2999999998</v>
      </c>
      <c r="P31" s="629">
        <f t="shared" si="22"/>
        <v>1504056.0999999999</v>
      </c>
      <c r="Q31" s="629">
        <v>-217925.6</v>
      </c>
      <c r="R31" s="629">
        <f t="shared" ref="R31" si="28">P31+Q31</f>
        <v>1286130.4999999998</v>
      </c>
      <c r="S31" s="629">
        <f t="shared" ref="S31" si="29">E31+R31</f>
        <v>1545936.0999999999</v>
      </c>
      <c r="T31" s="377" t="s">
        <v>742</v>
      </c>
      <c r="U31" s="225"/>
    </row>
    <row r="32" spans="1:21" ht="10.35" customHeight="1">
      <c r="A32" s="211" t="s">
        <v>743</v>
      </c>
      <c r="B32" s="603">
        <f>257546.7+17047.7</f>
        <v>274594.40000000002</v>
      </c>
      <c r="C32" s="603">
        <v>-145.80000000000001</v>
      </c>
      <c r="D32" s="294">
        <v>-12937.9</v>
      </c>
      <c r="E32" s="294">
        <f t="shared" si="6"/>
        <v>261510.7</v>
      </c>
      <c r="F32" s="603">
        <f>29929+108422.7</f>
        <v>138351.70000000001</v>
      </c>
      <c r="G32" s="603">
        <v>-2551.3000000000002</v>
      </c>
      <c r="H32" s="294">
        <v>291416.8</v>
      </c>
      <c r="I32" s="294">
        <f t="shared" si="7"/>
        <v>427217.2</v>
      </c>
      <c r="J32" s="603">
        <f>1596.1+12930.1</f>
        <v>14526.2</v>
      </c>
      <c r="K32" s="603">
        <v>1237.3</v>
      </c>
      <c r="L32" s="603">
        <f t="shared" si="8"/>
        <v>15763.5</v>
      </c>
      <c r="M32" s="603">
        <f>3961.4+979960.6</f>
        <v>983922</v>
      </c>
      <c r="N32" s="603">
        <v>92125.5</v>
      </c>
      <c r="O32" s="603">
        <f t="shared" si="21"/>
        <v>1076047.5</v>
      </c>
      <c r="P32" s="603">
        <f t="shared" si="22"/>
        <v>1519028.2</v>
      </c>
      <c r="Q32" s="603">
        <v>-215644.9</v>
      </c>
      <c r="R32" s="603">
        <f t="shared" ref="R32:R53" si="30">P32+Q32</f>
        <v>1303383.3</v>
      </c>
      <c r="S32" s="603">
        <f t="shared" ref="S32:S53" si="31">E32+R32</f>
        <v>1564894</v>
      </c>
      <c r="T32" s="270" t="s">
        <v>743</v>
      </c>
      <c r="U32" s="225"/>
    </row>
    <row r="33" spans="1:22" ht="10.35" customHeight="1">
      <c r="A33" s="376" t="s">
        <v>737</v>
      </c>
      <c r="B33" s="629">
        <f>254607.6+16670.6</f>
        <v>271278.2</v>
      </c>
      <c r="C33" s="629">
        <v>-146.6</v>
      </c>
      <c r="D33" s="361">
        <v>-13072.1</v>
      </c>
      <c r="E33" s="361">
        <f t="shared" si="6"/>
        <v>258059.5</v>
      </c>
      <c r="F33" s="629">
        <f>28908.2+111850.4</f>
        <v>140758.6</v>
      </c>
      <c r="G33" s="629">
        <v>-2487.3000000000002</v>
      </c>
      <c r="H33" s="361">
        <v>292402.59999999998</v>
      </c>
      <c r="I33" s="361">
        <f t="shared" si="7"/>
        <v>430673.9</v>
      </c>
      <c r="J33" s="629">
        <f>1599.4+14293.8</f>
        <v>15893.199999999999</v>
      </c>
      <c r="K33" s="629">
        <v>1233.4000000000001</v>
      </c>
      <c r="L33" s="629">
        <f t="shared" si="8"/>
        <v>17126.599999999999</v>
      </c>
      <c r="M33" s="629">
        <f>3967.7+988997.5</f>
        <v>992965.2</v>
      </c>
      <c r="N33" s="629">
        <v>92107.9</v>
      </c>
      <c r="O33" s="629">
        <f t="shared" si="21"/>
        <v>1085073.0999999999</v>
      </c>
      <c r="P33" s="629">
        <f t="shared" si="22"/>
        <v>1532873.5999999999</v>
      </c>
      <c r="Q33" s="629">
        <v>-219316.9</v>
      </c>
      <c r="R33" s="629">
        <f t="shared" si="30"/>
        <v>1313556.7</v>
      </c>
      <c r="S33" s="629">
        <f t="shared" si="31"/>
        <v>1571616.2</v>
      </c>
      <c r="T33" s="377" t="s">
        <v>737</v>
      </c>
      <c r="U33" s="225"/>
    </row>
    <row r="34" spans="1:22" s="211" customFormat="1" ht="10.35" customHeight="1">
      <c r="A34" s="211" t="s">
        <v>744</v>
      </c>
      <c r="B34" s="603">
        <f>256007.2+14238.6</f>
        <v>270245.8</v>
      </c>
      <c r="C34" s="603">
        <v>-134.4</v>
      </c>
      <c r="D34" s="1087">
        <v>-13180.8</v>
      </c>
      <c r="E34" s="294">
        <f t="shared" si="6"/>
        <v>256930.59999999998</v>
      </c>
      <c r="F34" s="603">
        <f>33824.6+113820</f>
        <v>147644.6</v>
      </c>
      <c r="G34" s="603">
        <v>-2352.1</v>
      </c>
      <c r="H34" s="294">
        <v>293225.5</v>
      </c>
      <c r="I34" s="294">
        <f t="shared" si="7"/>
        <v>438518</v>
      </c>
      <c r="J34" s="294">
        <f>1599.4+13999.5</f>
        <v>15598.9</v>
      </c>
      <c r="K34" s="603">
        <v>1293.3</v>
      </c>
      <c r="L34" s="603">
        <f t="shared" si="8"/>
        <v>16892.2</v>
      </c>
      <c r="M34" s="603">
        <f>3989.7+998027</f>
        <v>1002016.7</v>
      </c>
      <c r="N34" s="294">
        <v>92738.5</v>
      </c>
      <c r="O34" s="603">
        <f t="shared" si="21"/>
        <v>1094755.2</v>
      </c>
      <c r="P34" s="603">
        <f t="shared" si="22"/>
        <v>1550165.4</v>
      </c>
      <c r="Q34" s="603">
        <v>-224966.8</v>
      </c>
      <c r="R34" s="603">
        <f t="shared" si="30"/>
        <v>1325198.5999999999</v>
      </c>
      <c r="S34" s="603">
        <f t="shared" si="31"/>
        <v>1582129.1999999997</v>
      </c>
      <c r="T34" s="270" t="s">
        <v>744</v>
      </c>
      <c r="U34" s="996"/>
    </row>
    <row r="35" spans="1:22" s="211" customFormat="1" ht="10.35" customHeight="1">
      <c r="A35" s="376" t="s">
        <v>745</v>
      </c>
      <c r="B35" s="629">
        <f>255448.9+14918.8</f>
        <v>270367.7</v>
      </c>
      <c r="C35" s="629">
        <v>-135.5</v>
      </c>
      <c r="D35" s="1129">
        <v>-13252.2</v>
      </c>
      <c r="E35" s="1129">
        <f t="shared" si="6"/>
        <v>256980</v>
      </c>
      <c r="F35" s="629">
        <f>30168.5+123234.1</f>
        <v>153402.6</v>
      </c>
      <c r="G35" s="629">
        <v>-583.79999999999995</v>
      </c>
      <c r="H35" s="361">
        <v>293546.09999999998</v>
      </c>
      <c r="I35" s="361">
        <f t="shared" si="7"/>
        <v>446364.9</v>
      </c>
      <c r="J35" s="361">
        <f>1601.1+15108.3</f>
        <v>16709.399999999998</v>
      </c>
      <c r="K35" s="629">
        <v>1311.8</v>
      </c>
      <c r="L35" s="629">
        <f t="shared" si="8"/>
        <v>18021.199999999997</v>
      </c>
      <c r="M35" s="629">
        <f>3998.2+1007591.1</f>
        <v>1011589.2999999999</v>
      </c>
      <c r="N35" s="361">
        <v>93185.3</v>
      </c>
      <c r="O35" s="361">
        <f t="shared" si="21"/>
        <v>1104774.5999999999</v>
      </c>
      <c r="P35" s="361">
        <f t="shared" si="22"/>
        <v>1569160.7</v>
      </c>
      <c r="Q35" s="629">
        <v>-228880.6</v>
      </c>
      <c r="R35" s="629">
        <f t="shared" si="30"/>
        <v>1340280.0999999999</v>
      </c>
      <c r="S35" s="629">
        <f t="shared" si="31"/>
        <v>1597260.0999999999</v>
      </c>
      <c r="T35" s="377" t="s">
        <v>745</v>
      </c>
      <c r="U35" s="996"/>
    </row>
    <row r="36" spans="1:22" s="211" customFormat="1" ht="10.35" customHeight="1">
      <c r="A36" s="211" t="s">
        <v>738</v>
      </c>
      <c r="B36" s="603">
        <f>259113.4+15013.1</f>
        <v>274126.5</v>
      </c>
      <c r="C36" s="603">
        <v>-136.1</v>
      </c>
      <c r="D36" s="1087">
        <v>-13317.6</v>
      </c>
      <c r="E36" s="1087">
        <f t="shared" si="6"/>
        <v>260672.8</v>
      </c>
      <c r="F36" s="603">
        <f>34438.2+122398.7</f>
        <v>156836.9</v>
      </c>
      <c r="G36" s="603">
        <v>-547.29999999999995</v>
      </c>
      <c r="H36" s="294">
        <v>293137.7</v>
      </c>
      <c r="I36" s="294">
        <f t="shared" si="7"/>
        <v>449427.30000000005</v>
      </c>
      <c r="J36" s="294">
        <f>1604.2+18882.4</f>
        <v>20486.600000000002</v>
      </c>
      <c r="K36" s="603">
        <v>1311</v>
      </c>
      <c r="L36" s="603">
        <f t="shared" si="8"/>
        <v>21797.600000000002</v>
      </c>
      <c r="M36" s="603">
        <f>4077.2+1025498.5</f>
        <v>1029575.7</v>
      </c>
      <c r="N36" s="294">
        <v>94123.3</v>
      </c>
      <c r="O36" s="294">
        <f t="shared" si="21"/>
        <v>1123699</v>
      </c>
      <c r="P36" s="294">
        <f t="shared" si="22"/>
        <v>1594923.9</v>
      </c>
      <c r="Q36" s="603">
        <v>-238237.5</v>
      </c>
      <c r="R36" s="603">
        <f t="shared" si="30"/>
        <v>1356686.4</v>
      </c>
      <c r="S36" s="603">
        <f t="shared" si="31"/>
        <v>1617359.2</v>
      </c>
      <c r="T36" s="270" t="s">
        <v>738</v>
      </c>
      <c r="U36" s="996"/>
    </row>
    <row r="37" spans="1:22" s="211" customFormat="1" ht="10.35" customHeight="1">
      <c r="A37" s="376" t="s">
        <v>746</v>
      </c>
      <c r="B37" s="629">
        <f>259738.6+14611.3</f>
        <v>274349.90000000002</v>
      </c>
      <c r="C37" s="629">
        <v>-123.4</v>
      </c>
      <c r="D37" s="1174">
        <v>-13441.3</v>
      </c>
      <c r="E37" s="1174">
        <f t="shared" si="6"/>
        <v>260785.2</v>
      </c>
      <c r="F37" s="629">
        <f>32763.8+130479</f>
        <v>163242.79999999999</v>
      </c>
      <c r="G37" s="629">
        <v>-502.9</v>
      </c>
      <c r="H37" s="361">
        <v>295377.90000000002</v>
      </c>
      <c r="I37" s="361">
        <f t="shared" si="7"/>
        <v>458117.8</v>
      </c>
      <c r="J37" s="361">
        <f>1594.5+18094.9</f>
        <v>19689.400000000001</v>
      </c>
      <c r="K37" s="629">
        <v>1291.5999999999999</v>
      </c>
      <c r="L37" s="629">
        <f t="shared" si="8"/>
        <v>20981</v>
      </c>
      <c r="M37" s="629">
        <f>4055.1+1025031.9</f>
        <v>1029087</v>
      </c>
      <c r="N37" s="361">
        <v>92567.5</v>
      </c>
      <c r="O37" s="361">
        <f t="shared" si="21"/>
        <v>1121654.5</v>
      </c>
      <c r="P37" s="361">
        <f t="shared" si="22"/>
        <v>1600753.3</v>
      </c>
      <c r="Q37" s="629">
        <v>-239730</v>
      </c>
      <c r="R37" s="629">
        <f t="shared" si="30"/>
        <v>1361023.3</v>
      </c>
      <c r="S37" s="629">
        <f t="shared" si="31"/>
        <v>1621808.5</v>
      </c>
      <c r="T37" s="377" t="s">
        <v>746</v>
      </c>
      <c r="U37" s="996"/>
    </row>
    <row r="38" spans="1:22" s="211" customFormat="1" ht="10.35" customHeight="1">
      <c r="A38" s="211" t="s">
        <v>747</v>
      </c>
      <c r="B38" s="603">
        <f>260343.4+17143.1</f>
        <v>277486.5</v>
      </c>
      <c r="C38" s="603">
        <v>-124</v>
      </c>
      <c r="D38" s="1087">
        <v>-13689.2</v>
      </c>
      <c r="E38" s="1087">
        <f t="shared" si="6"/>
        <v>263673.3</v>
      </c>
      <c r="F38" s="603">
        <f>26329.1+135885.8</f>
        <v>162214.9</v>
      </c>
      <c r="G38" s="603">
        <v>-161.69999999999999</v>
      </c>
      <c r="H38" s="294">
        <v>297370.40000000002</v>
      </c>
      <c r="I38" s="294">
        <f t="shared" si="7"/>
        <v>459423.6</v>
      </c>
      <c r="J38" s="294">
        <f>1594.5+18412.7</f>
        <v>20007.2</v>
      </c>
      <c r="K38" s="603">
        <v>1289.3</v>
      </c>
      <c r="L38" s="603">
        <f t="shared" si="8"/>
        <v>21296.5</v>
      </c>
      <c r="M38" s="603">
        <f>4066.6+1032328</f>
        <v>1036394.6</v>
      </c>
      <c r="N38" s="294">
        <v>92752.6</v>
      </c>
      <c r="O38" s="294">
        <f t="shared" si="21"/>
        <v>1129147.2</v>
      </c>
      <c r="P38" s="294">
        <f t="shared" si="22"/>
        <v>1609867.2999999998</v>
      </c>
      <c r="Q38" s="603">
        <v>-240301.7</v>
      </c>
      <c r="R38" s="603">
        <f t="shared" si="30"/>
        <v>1369565.5999999999</v>
      </c>
      <c r="S38" s="603">
        <f t="shared" si="31"/>
        <v>1633238.9</v>
      </c>
      <c r="T38" s="270" t="s">
        <v>747</v>
      </c>
      <c r="U38" s="996"/>
    </row>
    <row r="39" spans="1:22" s="211" customFormat="1" ht="10.35" customHeight="1">
      <c r="A39" s="399" t="s">
        <v>739</v>
      </c>
      <c r="B39" s="629">
        <f>263114.5+16128.2</f>
        <v>279242.7</v>
      </c>
      <c r="C39" s="629">
        <v>-124.7</v>
      </c>
      <c r="D39" s="1174">
        <v>-13807.5</v>
      </c>
      <c r="E39" s="1174">
        <f t="shared" si="6"/>
        <v>265310.5</v>
      </c>
      <c r="F39" s="629">
        <f>22201+111536.8</f>
        <v>133737.79999999999</v>
      </c>
      <c r="G39" s="629">
        <v>-143.4</v>
      </c>
      <c r="H39" s="361">
        <v>298907.2</v>
      </c>
      <c r="I39" s="361">
        <f t="shared" si="7"/>
        <v>432501.6</v>
      </c>
      <c r="J39" s="361">
        <f>1594.5+18554.8</f>
        <v>20149.3</v>
      </c>
      <c r="K39" s="629">
        <v>1288.2</v>
      </c>
      <c r="L39" s="629">
        <f t="shared" si="8"/>
        <v>21437.5</v>
      </c>
      <c r="M39" s="629">
        <f>4075.8+1040202.9</f>
        <v>1044278.7000000001</v>
      </c>
      <c r="N39" s="361">
        <v>92295.4</v>
      </c>
      <c r="O39" s="361">
        <f t="shared" si="21"/>
        <v>1136574.1000000001</v>
      </c>
      <c r="P39" s="361">
        <f t="shared" si="22"/>
        <v>1590513.2000000002</v>
      </c>
      <c r="Q39" s="629">
        <v>-216295.5</v>
      </c>
      <c r="R39" s="629">
        <f t="shared" si="30"/>
        <v>1374217.7000000002</v>
      </c>
      <c r="S39" s="629">
        <f t="shared" si="31"/>
        <v>1639528.2000000002</v>
      </c>
      <c r="T39" s="377" t="s">
        <v>739</v>
      </c>
      <c r="U39" s="1203"/>
    </row>
    <row r="40" spans="1:22" s="211" customFormat="1" ht="10.35" customHeight="1">
      <c r="A40" s="322" t="s">
        <v>748</v>
      </c>
      <c r="B40" s="603">
        <f>265600.7+16859.1</f>
        <v>282459.8</v>
      </c>
      <c r="C40" s="603">
        <v>-111.9</v>
      </c>
      <c r="D40" s="1087">
        <v>-13807.5</v>
      </c>
      <c r="E40" s="1087">
        <f t="shared" si="6"/>
        <v>268540.39999999997</v>
      </c>
      <c r="F40" s="603">
        <f>34797.8+133561.3</f>
        <v>168359.09999999998</v>
      </c>
      <c r="G40" s="603">
        <v>-138.19999999999999</v>
      </c>
      <c r="H40" s="294">
        <v>298285.40000000002</v>
      </c>
      <c r="I40" s="294">
        <f t="shared" si="7"/>
        <v>466506.3</v>
      </c>
      <c r="J40" s="294">
        <f>1597.8+18325.3</f>
        <v>19923.099999999999</v>
      </c>
      <c r="K40" s="603">
        <v>1288.3</v>
      </c>
      <c r="L40" s="603">
        <f t="shared" si="8"/>
        <v>21211.399999999998</v>
      </c>
      <c r="M40" s="603">
        <f>4077.1+1048672.9</f>
        <v>1052750</v>
      </c>
      <c r="N40" s="294">
        <v>92134.3</v>
      </c>
      <c r="O40" s="294">
        <f t="shared" si="21"/>
        <v>1144884.3</v>
      </c>
      <c r="P40" s="294">
        <f t="shared" si="22"/>
        <v>1632602</v>
      </c>
      <c r="Q40" s="603">
        <v>-247056.6</v>
      </c>
      <c r="R40" s="603">
        <f t="shared" si="30"/>
        <v>1385545.4</v>
      </c>
      <c r="S40" s="603">
        <f t="shared" si="31"/>
        <v>1654085.7999999998</v>
      </c>
      <c r="T40" s="270" t="s">
        <v>748</v>
      </c>
      <c r="U40" s="1203"/>
    </row>
    <row r="41" spans="1:22" s="211" customFormat="1" ht="10.35" customHeight="1">
      <c r="A41" s="399" t="s">
        <v>749</v>
      </c>
      <c r="B41" s="629">
        <f>271808+14629.3</f>
        <v>286437.3</v>
      </c>
      <c r="C41" s="629">
        <v>-112.5</v>
      </c>
      <c r="D41" s="1174">
        <v>-13835.1</v>
      </c>
      <c r="E41" s="1129">
        <f t="shared" si="6"/>
        <v>272489.7</v>
      </c>
      <c r="F41" s="629">
        <f>31707.4+130780.7</f>
        <v>162488.1</v>
      </c>
      <c r="G41" s="629">
        <v>43.7</v>
      </c>
      <c r="H41" s="361">
        <v>298715.59999999998</v>
      </c>
      <c r="I41" s="361">
        <f t="shared" si="7"/>
        <v>461247.4</v>
      </c>
      <c r="J41" s="361">
        <f>1597.8+18243</f>
        <v>19840.8</v>
      </c>
      <c r="K41" s="629">
        <v>1286.2</v>
      </c>
      <c r="L41" s="629">
        <f t="shared" si="8"/>
        <v>21127</v>
      </c>
      <c r="M41" s="629">
        <f>4096.7+1063255.7</f>
        <v>1067352.3999999999</v>
      </c>
      <c r="N41" s="361">
        <v>92001.4</v>
      </c>
      <c r="O41" s="361">
        <f t="shared" si="21"/>
        <v>1159353.7999999998</v>
      </c>
      <c r="P41" s="361">
        <f t="shared" si="22"/>
        <v>1641728.1999999997</v>
      </c>
      <c r="Q41" s="361">
        <v>-234155.5</v>
      </c>
      <c r="R41" s="361">
        <f t="shared" si="30"/>
        <v>1407572.6999999997</v>
      </c>
      <c r="S41" s="361">
        <f t="shared" si="31"/>
        <v>1680062.3999999997</v>
      </c>
      <c r="T41" s="377" t="s">
        <v>749</v>
      </c>
      <c r="U41" s="1203"/>
    </row>
    <row r="42" spans="1:22" s="211" customFormat="1" ht="10.35" customHeight="1">
      <c r="A42" s="322" t="s">
        <v>740</v>
      </c>
      <c r="B42" s="603">
        <f>286040.9+11295.3</f>
        <v>297336.2</v>
      </c>
      <c r="C42" s="603">
        <v>-113.1</v>
      </c>
      <c r="D42" s="1087">
        <v>-13909.2</v>
      </c>
      <c r="E42" s="603">
        <f t="shared" si="6"/>
        <v>283313.90000000002</v>
      </c>
      <c r="F42" s="603">
        <f>42117.1+139002.3</f>
        <v>181119.4</v>
      </c>
      <c r="G42" s="603">
        <v>71.3</v>
      </c>
      <c r="H42" s="294">
        <v>302132.8</v>
      </c>
      <c r="I42" s="603">
        <f t="shared" si="7"/>
        <v>483323.5</v>
      </c>
      <c r="J42" s="294">
        <f>1604.4+17596.4</f>
        <v>19200.800000000003</v>
      </c>
      <c r="K42" s="603">
        <v>1285.2</v>
      </c>
      <c r="L42" s="603">
        <f t="shared" si="8"/>
        <v>20486.000000000004</v>
      </c>
      <c r="M42" s="603">
        <f>4147.6+1071078.9</f>
        <v>1075226.5</v>
      </c>
      <c r="N42" s="294">
        <v>91712.4</v>
      </c>
      <c r="O42" s="294">
        <f t="shared" si="21"/>
        <v>1166938.8999999999</v>
      </c>
      <c r="P42" s="294">
        <f t="shared" si="22"/>
        <v>1670748.4</v>
      </c>
      <c r="Q42" s="294">
        <v>-250124.9</v>
      </c>
      <c r="R42" s="294">
        <f t="shared" si="30"/>
        <v>1420623.5</v>
      </c>
      <c r="S42" s="294">
        <f t="shared" si="31"/>
        <v>1703937.4</v>
      </c>
      <c r="T42" s="270" t="s">
        <v>740</v>
      </c>
      <c r="U42" s="1203"/>
    </row>
    <row r="43" spans="1:22" s="211" customFormat="1" ht="10.35" customHeight="1">
      <c r="A43" s="449" t="s">
        <v>2114</v>
      </c>
      <c r="B43" s="629"/>
      <c r="C43" s="629"/>
      <c r="D43" s="1129"/>
      <c r="E43" s="603"/>
      <c r="F43" s="629"/>
      <c r="G43" s="629"/>
      <c r="H43" s="361"/>
      <c r="I43" s="603"/>
      <c r="J43" s="361"/>
      <c r="K43" s="629"/>
      <c r="L43" s="629"/>
      <c r="M43" s="629"/>
      <c r="N43" s="361"/>
      <c r="O43" s="361"/>
      <c r="P43" s="294"/>
      <c r="Q43" s="361"/>
      <c r="R43" s="294"/>
      <c r="S43" s="294"/>
      <c r="T43" s="379" t="s">
        <v>2114</v>
      </c>
      <c r="U43" s="1203"/>
    </row>
    <row r="44" spans="1:22" s="211" customFormat="1" ht="10.35" customHeight="1">
      <c r="A44" s="322" t="s">
        <v>742</v>
      </c>
      <c r="B44" s="603">
        <f>297266.4+13630.7</f>
        <v>310897.10000000003</v>
      </c>
      <c r="C44" s="603">
        <v>-100.2</v>
      </c>
      <c r="D44" s="1087">
        <v>-14064.6</v>
      </c>
      <c r="E44" s="1087">
        <f t="shared" si="6"/>
        <v>296732.30000000005</v>
      </c>
      <c r="F44" s="603">
        <f>38923.9+157754</f>
        <v>196677.9</v>
      </c>
      <c r="G44" s="603">
        <v>41.3</v>
      </c>
      <c r="H44" s="294">
        <v>305838.09999999998</v>
      </c>
      <c r="I44" s="294">
        <f t="shared" si="7"/>
        <v>502557.29999999993</v>
      </c>
      <c r="J44" s="294">
        <f>1596.1+17516.8</f>
        <v>19112.899999999998</v>
      </c>
      <c r="K44" s="603">
        <v>1285.2</v>
      </c>
      <c r="L44" s="603">
        <f t="shared" si="8"/>
        <v>20398.099999999999</v>
      </c>
      <c r="M44" s="603">
        <f>4145.7+1069056.1</f>
        <v>1073201.8</v>
      </c>
      <c r="N44" s="294">
        <v>91062.6</v>
      </c>
      <c r="O44" s="294">
        <f t="shared" si="21"/>
        <v>1164264.4000000001</v>
      </c>
      <c r="P44" s="294">
        <f t="shared" si="22"/>
        <v>1687219.8</v>
      </c>
      <c r="Q44" s="294">
        <v>-245140.3</v>
      </c>
      <c r="R44" s="294">
        <f t="shared" si="30"/>
        <v>1442079.5</v>
      </c>
      <c r="S44" s="294">
        <f t="shared" si="31"/>
        <v>1738811.8</v>
      </c>
      <c r="T44" s="270" t="s">
        <v>742</v>
      </c>
      <c r="U44" s="1203"/>
    </row>
    <row r="45" spans="1:22" s="211" customFormat="1" ht="10.35" customHeight="1">
      <c r="A45" s="399" t="s">
        <v>743</v>
      </c>
      <c r="B45" s="629">
        <f>307680.5+14569.5</f>
        <v>322250</v>
      </c>
      <c r="C45" s="629">
        <v>-100.8</v>
      </c>
      <c r="D45" s="1087">
        <v>-14203.1</v>
      </c>
      <c r="E45" s="1087">
        <f t="shared" si="6"/>
        <v>307946.09999999998</v>
      </c>
      <c r="F45" s="629">
        <f>22094.6+173066.1</f>
        <v>195160.7</v>
      </c>
      <c r="G45" s="629">
        <v>-1.2</v>
      </c>
      <c r="H45" s="1378">
        <v>309584.90000000002</v>
      </c>
      <c r="I45" s="294">
        <f t="shared" si="7"/>
        <v>504744.4</v>
      </c>
      <c r="J45" s="361">
        <f>1597.8+17926.2</f>
        <v>19524</v>
      </c>
      <c r="K45" s="629">
        <v>1285.2</v>
      </c>
      <c r="L45" s="629">
        <f t="shared" si="8"/>
        <v>20809.2</v>
      </c>
      <c r="M45" s="629">
        <f>4156.2+1075365.1</f>
        <v>1079521.3</v>
      </c>
      <c r="N45" s="361">
        <v>89972.7</v>
      </c>
      <c r="O45" s="361">
        <f t="shared" si="21"/>
        <v>1169494</v>
      </c>
      <c r="P45" s="294">
        <f t="shared" si="22"/>
        <v>1695047.6</v>
      </c>
      <c r="Q45" s="361">
        <v>-251467.2</v>
      </c>
      <c r="R45" s="294">
        <f t="shared" si="30"/>
        <v>1443580.4000000001</v>
      </c>
      <c r="S45" s="294">
        <f t="shared" si="31"/>
        <v>1751526.5</v>
      </c>
      <c r="T45" s="377" t="s">
        <v>743</v>
      </c>
      <c r="U45" s="1203"/>
    </row>
    <row r="46" spans="1:22" s="211" customFormat="1" ht="10.35" customHeight="1">
      <c r="A46" s="322" t="s">
        <v>737</v>
      </c>
      <c r="B46" s="603">
        <f>313613.3+17544.3</f>
        <v>331157.59999999998</v>
      </c>
      <c r="C46" s="603">
        <v>-101.3</v>
      </c>
      <c r="D46" s="1087">
        <v>-14346.6</v>
      </c>
      <c r="E46" s="1087">
        <f t="shared" si="6"/>
        <v>316709.69999999995</v>
      </c>
      <c r="F46" s="603">
        <f>12186.7+178287</f>
        <v>190473.7</v>
      </c>
      <c r="G46" s="603">
        <v>228.2</v>
      </c>
      <c r="H46" s="294">
        <v>313792.09999999998</v>
      </c>
      <c r="I46" s="294">
        <f t="shared" si="7"/>
        <v>504494</v>
      </c>
      <c r="J46" s="294">
        <f>1599.3+17863.5</f>
        <v>19462.8</v>
      </c>
      <c r="K46" s="603">
        <v>1289.7</v>
      </c>
      <c r="L46" s="603">
        <f t="shared" si="8"/>
        <v>20752.5</v>
      </c>
      <c r="M46" s="603">
        <f>4183.6+1086820.9</f>
        <v>1091004.5</v>
      </c>
      <c r="N46" s="294">
        <v>89527.9</v>
      </c>
      <c r="O46" s="294">
        <f t="shared" si="21"/>
        <v>1180532.3999999999</v>
      </c>
      <c r="P46" s="294">
        <f t="shared" si="22"/>
        <v>1705778.9</v>
      </c>
      <c r="Q46" s="294">
        <v>-255727.4</v>
      </c>
      <c r="R46" s="294">
        <f t="shared" si="30"/>
        <v>1450051.5</v>
      </c>
      <c r="S46" s="294">
        <f t="shared" si="31"/>
        <v>1766761.2</v>
      </c>
      <c r="T46" s="270" t="s">
        <v>737</v>
      </c>
      <c r="U46" s="1203"/>
      <c r="V46" s="1203"/>
    </row>
    <row r="47" spans="1:22" s="211" customFormat="1" ht="10.35" customHeight="1">
      <c r="A47" s="399" t="s">
        <v>744</v>
      </c>
      <c r="B47" s="629">
        <f>322383.4+14543.2</f>
        <v>336926.60000000003</v>
      </c>
      <c r="C47" s="629">
        <v>-88.4</v>
      </c>
      <c r="D47" s="1129">
        <v>-14474.3</v>
      </c>
      <c r="E47" s="1129">
        <f t="shared" si="6"/>
        <v>322363.90000000002</v>
      </c>
      <c r="F47" s="1417">
        <f>11533.9+180055.7</f>
        <v>191589.6</v>
      </c>
      <c r="G47" s="629">
        <v>378.7</v>
      </c>
      <c r="H47" s="361">
        <v>317826.7</v>
      </c>
      <c r="I47" s="361">
        <f t="shared" si="7"/>
        <v>509795</v>
      </c>
      <c r="J47" s="361">
        <f>1600.6+18227.3</f>
        <v>19827.899999999998</v>
      </c>
      <c r="K47" s="629">
        <v>1338.8</v>
      </c>
      <c r="L47" s="629">
        <f t="shared" si="8"/>
        <v>21166.699999999997</v>
      </c>
      <c r="M47" s="629">
        <f>4197.8+1087741.9</f>
        <v>1091939.7</v>
      </c>
      <c r="N47" s="361">
        <v>92427.4</v>
      </c>
      <c r="O47" s="361">
        <f t="shared" si="21"/>
        <v>1184367.0999999999</v>
      </c>
      <c r="P47" s="361">
        <f t="shared" si="22"/>
        <v>1715328.7999999998</v>
      </c>
      <c r="Q47" s="361">
        <v>-253594.2</v>
      </c>
      <c r="R47" s="1378">
        <f t="shared" si="30"/>
        <v>1461734.5999999999</v>
      </c>
      <c r="S47" s="361">
        <f t="shared" si="31"/>
        <v>1784098.5</v>
      </c>
      <c r="T47" s="377" t="s">
        <v>744</v>
      </c>
      <c r="U47" s="1203"/>
      <c r="V47" s="1203"/>
    </row>
    <row r="48" spans="1:22" s="211" customFormat="1" ht="10.35" customHeight="1">
      <c r="A48" s="322" t="s">
        <v>745</v>
      </c>
      <c r="B48" s="603">
        <f>330892.7+14510.5</f>
        <v>345403.2</v>
      </c>
      <c r="C48" s="603">
        <v>-88.8</v>
      </c>
      <c r="D48" s="1087">
        <v>-14640.3</v>
      </c>
      <c r="E48" s="1087">
        <f t="shared" si="6"/>
        <v>330674.10000000003</v>
      </c>
      <c r="F48" s="603">
        <f>9855.8+183243.1</f>
        <v>193098.9</v>
      </c>
      <c r="G48" s="603">
        <v>150.6</v>
      </c>
      <c r="H48" s="294">
        <v>321229.3</v>
      </c>
      <c r="I48" s="294">
        <f t="shared" si="7"/>
        <v>514478.79999999993</v>
      </c>
      <c r="J48" s="294">
        <f>1602.3+18970.2</f>
        <v>20572.5</v>
      </c>
      <c r="K48" s="603">
        <v>1338.8</v>
      </c>
      <c r="L48" s="603">
        <f t="shared" si="8"/>
        <v>21911.3</v>
      </c>
      <c r="M48" s="603">
        <f>4186.3+1094312.8</f>
        <v>1098499.1000000001</v>
      </c>
      <c r="N48" s="294">
        <v>92531.3</v>
      </c>
      <c r="O48" s="294">
        <f t="shared" si="21"/>
        <v>1191030.4000000001</v>
      </c>
      <c r="P48" s="294">
        <f t="shared" ref="P48:P54" si="32">I48+L48+O48</f>
        <v>1727420.5</v>
      </c>
      <c r="Q48" s="294">
        <v>-257184.7</v>
      </c>
      <c r="R48" s="294">
        <f t="shared" si="30"/>
        <v>1470235.8</v>
      </c>
      <c r="S48" s="294">
        <f t="shared" si="31"/>
        <v>1800909.9000000001</v>
      </c>
      <c r="T48" s="270" t="s">
        <v>745</v>
      </c>
      <c r="U48" s="1203"/>
      <c r="V48" s="1203"/>
    </row>
    <row r="49" spans="1:24" s="211" customFormat="1" ht="10.35" customHeight="1">
      <c r="A49" s="399" t="s">
        <v>738</v>
      </c>
      <c r="B49" s="629">
        <f>341180.7+15796.1</f>
        <v>356976.8</v>
      </c>
      <c r="C49" s="629">
        <v>-89.3</v>
      </c>
      <c r="D49" s="1174">
        <v>-14722.3</v>
      </c>
      <c r="E49" s="1129">
        <f t="shared" si="6"/>
        <v>342165.2</v>
      </c>
      <c r="F49" s="629">
        <f>1313.5+189941.4</f>
        <v>191254.9</v>
      </c>
      <c r="G49" s="629">
        <v>160.1</v>
      </c>
      <c r="H49" s="361">
        <v>322671.5</v>
      </c>
      <c r="I49" s="361">
        <f t="shared" si="7"/>
        <v>514086.5</v>
      </c>
      <c r="J49" s="361">
        <f>1604+19376.7</f>
        <v>20980.7</v>
      </c>
      <c r="K49" s="629">
        <v>1337.5</v>
      </c>
      <c r="L49" s="629">
        <f t="shared" si="8"/>
        <v>22318.2</v>
      </c>
      <c r="M49" s="629">
        <f>4273.2+1113581.9</f>
        <v>1117855.0999999999</v>
      </c>
      <c r="N49" s="361">
        <v>94285.5</v>
      </c>
      <c r="O49" s="361">
        <f t="shared" si="21"/>
        <v>1212140.5999999999</v>
      </c>
      <c r="P49" s="361">
        <f t="shared" si="32"/>
        <v>1748545.2999999998</v>
      </c>
      <c r="Q49" s="361">
        <v>-261316.5</v>
      </c>
      <c r="R49" s="361">
        <f t="shared" si="30"/>
        <v>1487228.7999999998</v>
      </c>
      <c r="S49" s="361">
        <f t="shared" si="31"/>
        <v>1829393.9999999998</v>
      </c>
      <c r="T49" s="377" t="s">
        <v>738</v>
      </c>
      <c r="V49" s="1203"/>
    </row>
    <row r="50" spans="1:24" s="211" customFormat="1" ht="10.35" customHeight="1">
      <c r="A50" s="322" t="s">
        <v>746</v>
      </c>
      <c r="B50" s="603">
        <f>343476.8+15680.7</f>
        <v>359157.5</v>
      </c>
      <c r="C50" s="603">
        <v>-76.3</v>
      </c>
      <c r="D50" s="1087">
        <v>-14809.8</v>
      </c>
      <c r="E50" s="1087">
        <f t="shared" si="6"/>
        <v>344271.4</v>
      </c>
      <c r="F50" s="603">
        <f>-206.2+191553.9</f>
        <v>191347.69999999998</v>
      </c>
      <c r="G50" s="603">
        <v>20.8</v>
      </c>
      <c r="H50" s="294">
        <v>327886.59999999998</v>
      </c>
      <c r="I50" s="294">
        <f t="shared" si="7"/>
        <v>519255.1</v>
      </c>
      <c r="J50" s="294">
        <f>1596.1+19123.2</f>
        <v>20719.3</v>
      </c>
      <c r="K50" s="603">
        <v>1305.2</v>
      </c>
      <c r="L50" s="603">
        <f t="shared" si="8"/>
        <v>22024.5</v>
      </c>
      <c r="M50" s="603">
        <f>4260.7+1112505.6</f>
        <v>1116766.3</v>
      </c>
      <c r="N50" s="294">
        <v>93966.3</v>
      </c>
      <c r="O50" s="294">
        <f t="shared" si="21"/>
        <v>1210732.6000000001</v>
      </c>
      <c r="P50" s="294">
        <f t="shared" si="32"/>
        <v>1752012.2000000002</v>
      </c>
      <c r="Q50" s="294">
        <v>-268801.8</v>
      </c>
      <c r="R50" s="294">
        <f t="shared" si="30"/>
        <v>1483210.4000000001</v>
      </c>
      <c r="S50" s="294">
        <f t="shared" si="31"/>
        <v>1827481.8000000003</v>
      </c>
      <c r="T50" s="270" t="s">
        <v>746</v>
      </c>
      <c r="V50" s="1203"/>
    </row>
    <row r="51" spans="1:24" s="211" customFormat="1" ht="10.35" customHeight="1">
      <c r="A51" s="399" t="s">
        <v>747</v>
      </c>
      <c r="B51" s="629">
        <f>347148.6+14582.4</f>
        <v>361731</v>
      </c>
      <c r="C51" s="629">
        <v>-76.7</v>
      </c>
      <c r="D51" s="1174">
        <v>-14879</v>
      </c>
      <c r="E51" s="1129">
        <f t="shared" si="6"/>
        <v>346775.3</v>
      </c>
      <c r="F51" s="629">
        <f>-11316.8+190796.2</f>
        <v>179479.40000000002</v>
      </c>
      <c r="G51" s="629">
        <v>-53.9</v>
      </c>
      <c r="H51" s="361">
        <v>331495.7</v>
      </c>
      <c r="I51" s="361">
        <f t="shared" si="7"/>
        <v>510921.2</v>
      </c>
      <c r="J51" s="361">
        <f>1597.7+19564.5</f>
        <v>21162.2</v>
      </c>
      <c r="K51" s="629">
        <v>1306.4000000000001</v>
      </c>
      <c r="L51" s="629">
        <f t="shared" si="8"/>
        <v>22468.600000000002</v>
      </c>
      <c r="M51" s="629">
        <f>4265.7+1125888.4</f>
        <v>1130154.0999999999</v>
      </c>
      <c r="N51" s="361">
        <v>94451</v>
      </c>
      <c r="O51" s="361">
        <f t="shared" si="21"/>
        <v>1224605.0999999999</v>
      </c>
      <c r="P51" s="361">
        <f t="shared" si="32"/>
        <v>1757994.9</v>
      </c>
      <c r="Q51" s="361">
        <v>-265316.3</v>
      </c>
      <c r="R51" s="361">
        <f t="shared" si="30"/>
        <v>1492678.5999999999</v>
      </c>
      <c r="S51" s="361">
        <f t="shared" si="31"/>
        <v>1839453.9</v>
      </c>
      <c r="T51" s="377" t="s">
        <v>747</v>
      </c>
      <c r="U51" s="1203"/>
      <c r="V51" s="1203"/>
    </row>
    <row r="52" spans="1:24" s="211" customFormat="1" ht="10.35" customHeight="1">
      <c r="A52" s="322" t="s">
        <v>739</v>
      </c>
      <c r="B52" s="603">
        <f>346841.2+15356.7</f>
        <v>362197.9</v>
      </c>
      <c r="C52" s="603">
        <v>-77.099999999999994</v>
      </c>
      <c r="D52" s="1087">
        <v>-14918.6</v>
      </c>
      <c r="E52" s="1087">
        <f t="shared" si="6"/>
        <v>347202.2</v>
      </c>
      <c r="F52" s="603">
        <f>-9799.1+188683.3</f>
        <v>178884.19999999998</v>
      </c>
      <c r="G52" s="603">
        <v>-303.7</v>
      </c>
      <c r="H52" s="294">
        <v>335387</v>
      </c>
      <c r="I52" s="294">
        <f t="shared" si="7"/>
        <v>513967.5</v>
      </c>
      <c r="J52" s="294">
        <f>1599.3+19457.4</f>
        <v>21056.7</v>
      </c>
      <c r="K52" s="603">
        <v>1305.5</v>
      </c>
      <c r="L52" s="603">
        <f t="shared" si="8"/>
        <v>22362.2</v>
      </c>
      <c r="M52" s="603">
        <f>4268.2+1132931.1</f>
        <v>1137199.3</v>
      </c>
      <c r="N52" s="294">
        <v>94702.5</v>
      </c>
      <c r="O52" s="294">
        <f t="shared" si="21"/>
        <v>1231901.8</v>
      </c>
      <c r="P52" s="294">
        <f t="shared" si="32"/>
        <v>1768231.5</v>
      </c>
      <c r="Q52" s="294">
        <v>-269065.59999999998</v>
      </c>
      <c r="R52" s="294">
        <f t="shared" si="30"/>
        <v>1499165.9</v>
      </c>
      <c r="S52" s="294">
        <f t="shared" si="31"/>
        <v>1846368.0999999999</v>
      </c>
      <c r="T52" s="270" t="s">
        <v>739</v>
      </c>
      <c r="U52" s="1203"/>
      <c r="V52" s="1203"/>
    </row>
    <row r="53" spans="1:24" s="211" customFormat="1" ht="10.35" customHeight="1">
      <c r="A53" s="399" t="s">
        <v>748</v>
      </c>
      <c r="B53" s="629">
        <f>352524.2+17183</f>
        <v>369707.2</v>
      </c>
      <c r="C53" s="629">
        <v>-64.099999999999994</v>
      </c>
      <c r="D53" s="1129">
        <v>-14921.1</v>
      </c>
      <c r="E53" s="1129">
        <f t="shared" si="6"/>
        <v>354722</v>
      </c>
      <c r="F53" s="629">
        <f>-1952.8+189105.6</f>
        <v>187152.80000000002</v>
      </c>
      <c r="G53" s="629">
        <v>-358.5</v>
      </c>
      <c r="H53" s="361">
        <v>336913</v>
      </c>
      <c r="I53" s="361">
        <f t="shared" si="7"/>
        <v>523707.30000000005</v>
      </c>
      <c r="J53" s="361">
        <f>1600.9+18791.9</f>
        <v>20392.800000000003</v>
      </c>
      <c r="K53" s="629">
        <v>1305.4000000000001</v>
      </c>
      <c r="L53" s="629">
        <f t="shared" si="8"/>
        <v>21698.200000000004</v>
      </c>
      <c r="M53" s="629">
        <f>4279+1136600</f>
        <v>1140879</v>
      </c>
      <c r="N53" s="361">
        <v>94580.3</v>
      </c>
      <c r="O53" s="361">
        <f t="shared" si="21"/>
        <v>1235459.3</v>
      </c>
      <c r="P53" s="361">
        <f t="shared" si="32"/>
        <v>1780864.8</v>
      </c>
      <c r="Q53" s="361">
        <v>-272847.8</v>
      </c>
      <c r="R53" s="361">
        <f t="shared" si="30"/>
        <v>1508017</v>
      </c>
      <c r="S53" s="361">
        <f t="shared" si="31"/>
        <v>1862739</v>
      </c>
      <c r="T53" s="377" t="s">
        <v>748</v>
      </c>
      <c r="U53" s="1203"/>
      <c r="V53" s="1203"/>
    </row>
    <row r="54" spans="1:24" s="211" customFormat="1" ht="10.35" customHeight="1" thickBot="1">
      <c r="A54" s="621" t="s">
        <v>749</v>
      </c>
      <c r="B54" s="1589">
        <f>361530.9+16389.4</f>
        <v>377920.30000000005</v>
      </c>
      <c r="C54" s="1589">
        <v>-190.6</v>
      </c>
      <c r="D54" s="1590">
        <v>-14937.2</v>
      </c>
      <c r="E54" s="1590">
        <f t="shared" si="6"/>
        <v>362792.50000000006</v>
      </c>
      <c r="F54" s="1589">
        <f>-482.4+197929.6</f>
        <v>197447.2</v>
      </c>
      <c r="G54" s="1589">
        <v>-362.3</v>
      </c>
      <c r="H54" s="835">
        <v>339570.3</v>
      </c>
      <c r="I54" s="835">
        <f t="shared" si="7"/>
        <v>536655.19999999995</v>
      </c>
      <c r="J54" s="835">
        <f>1602.5+18822.15</f>
        <v>20424.650000000001</v>
      </c>
      <c r="K54" s="1589">
        <v>1305.4000000000001</v>
      </c>
      <c r="L54" s="1589">
        <f t="shared" si="8"/>
        <v>21730.050000000003</v>
      </c>
      <c r="M54" s="1589">
        <f>4269+1144212.7</f>
        <v>1148481.7</v>
      </c>
      <c r="N54" s="835">
        <v>94279.22</v>
      </c>
      <c r="O54" s="835">
        <f t="shared" si="21"/>
        <v>1242760.92</v>
      </c>
      <c r="P54" s="835">
        <f t="shared" si="32"/>
        <v>1801146.17</v>
      </c>
      <c r="Q54" s="835">
        <v>-272339.59999999998</v>
      </c>
      <c r="R54" s="835">
        <f t="shared" ref="R54" si="33">P54+Q54</f>
        <v>1528806.5699999998</v>
      </c>
      <c r="S54" s="835">
        <f t="shared" ref="S54" si="34">E54+R54</f>
        <v>1891599.0699999998</v>
      </c>
      <c r="T54" s="1126" t="s">
        <v>749</v>
      </c>
      <c r="U54" s="1203"/>
      <c r="V54" s="1203"/>
    </row>
    <row r="55" spans="1:24" ht="11.1" customHeight="1">
      <c r="A55" s="243" t="s">
        <v>1795</v>
      </c>
      <c r="B55" s="1873" t="s">
        <v>1638</v>
      </c>
      <c r="C55" s="1873"/>
      <c r="D55" s="1873"/>
      <c r="E55" s="1873"/>
      <c r="F55" s="1873"/>
      <c r="G55" s="331"/>
      <c r="H55" s="1078"/>
      <c r="I55" s="1076"/>
      <c r="J55" s="1175"/>
      <c r="K55" s="1175"/>
      <c r="L55" s="1175"/>
      <c r="M55" s="242" t="s">
        <v>247</v>
      </c>
      <c r="N55" s="1876" t="s">
        <v>1786</v>
      </c>
      <c r="O55" s="1876"/>
      <c r="P55" s="1876"/>
      <c r="Q55" s="1876"/>
      <c r="R55" s="1876"/>
      <c r="S55" s="1876"/>
      <c r="T55" s="1876"/>
      <c r="U55" s="1134"/>
      <c r="V55" s="1134"/>
      <c r="W55" s="1134"/>
      <c r="X55" s="1134"/>
    </row>
    <row r="56" spans="1:24" ht="11.1" customHeight="1">
      <c r="C56" s="1134"/>
      <c r="D56" s="1134"/>
      <c r="E56" s="1175"/>
      <c r="F56" s="1423"/>
      <c r="G56" s="1175"/>
      <c r="H56" s="1078"/>
      <c r="I56" s="1076"/>
      <c r="J56" s="660"/>
      <c r="K56" s="1175"/>
      <c r="L56" s="660"/>
      <c r="M56" s="653"/>
      <c r="N56" s="1850" t="s">
        <v>1841</v>
      </c>
      <c r="O56" s="1850"/>
      <c r="P56" s="1850"/>
      <c r="Q56" s="1850"/>
      <c r="R56" s="1850"/>
      <c r="S56" s="1850"/>
      <c r="T56" s="1850"/>
      <c r="U56" s="1379"/>
      <c r="V56" s="1134"/>
      <c r="W56" s="1134"/>
      <c r="X56" s="1134"/>
    </row>
    <row r="57" spans="1:24" ht="11.1" customHeight="1">
      <c r="E57" s="1175"/>
      <c r="F57" s="1424"/>
      <c r="H57" s="1077"/>
      <c r="I57" s="1077"/>
      <c r="J57" s="1134"/>
      <c r="N57" s="842" t="s">
        <v>1732</v>
      </c>
      <c r="O57" s="836"/>
      <c r="P57" s="836"/>
      <c r="Q57" s="331" t="s">
        <v>1731</v>
      </c>
      <c r="R57" s="836"/>
      <c r="S57" s="836"/>
      <c r="T57" s="836"/>
      <c r="U57" s="1134"/>
      <c r="V57" s="1134"/>
      <c r="W57" s="1134"/>
      <c r="X57" s="1134"/>
    </row>
    <row r="58" spans="1:24" ht="11.1" customHeight="1">
      <c r="B58" s="1134"/>
      <c r="C58" s="1134"/>
      <c r="D58" s="1134"/>
      <c r="E58" s="1175"/>
      <c r="F58" s="1424"/>
      <c r="G58" s="1134"/>
      <c r="H58" s="1134"/>
      <c r="I58" s="1259"/>
      <c r="J58" s="1134"/>
      <c r="L58" s="1134"/>
      <c r="M58" s="243" t="s">
        <v>248</v>
      </c>
      <c r="N58" s="1873" t="s">
        <v>1638</v>
      </c>
      <c r="O58" s="1873"/>
      <c r="P58" s="1873"/>
      <c r="Q58" s="1873"/>
      <c r="R58" s="1873"/>
      <c r="S58" s="1873"/>
      <c r="T58" s="1873"/>
      <c r="U58" s="1134"/>
      <c r="V58" s="1134"/>
      <c r="W58" s="1134"/>
      <c r="X58" s="1134"/>
    </row>
    <row r="59" spans="1:24" ht="12" customHeight="1">
      <c r="B59" s="599"/>
      <c r="E59" s="1175"/>
      <c r="F59" s="1424"/>
      <c r="G59" s="1134"/>
      <c r="K59" s="1189"/>
      <c r="Q59" s="1134"/>
      <c r="R59" s="1134"/>
      <c r="S59" s="1134"/>
      <c r="T59" s="1135"/>
      <c r="U59" s="1134"/>
      <c r="X59" s="1134"/>
    </row>
    <row r="60" spans="1:24" ht="12" customHeight="1">
      <c r="M60" s="1134"/>
      <c r="N60" s="1134"/>
      <c r="O60" s="1134"/>
      <c r="P60" s="1134"/>
      <c r="Q60" s="1134"/>
      <c r="R60" s="1134"/>
      <c r="U60" s="225"/>
    </row>
    <row r="61" spans="1:24" ht="9.75" customHeight="1">
      <c r="M61" s="1134"/>
    </row>
    <row r="72" spans="2:20">
      <c r="B72" s="225"/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</row>
    <row r="73" spans="2:20">
      <c r="B73" s="225"/>
      <c r="C73" s="225"/>
      <c r="D73" s="225"/>
      <c r="E73" s="225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25"/>
      <c r="R73" s="225"/>
      <c r="S73" s="225"/>
      <c r="T73" s="225"/>
    </row>
    <row r="74" spans="2:20">
      <c r="B74" s="225"/>
      <c r="C74" s="225"/>
      <c r="D74" s="225"/>
      <c r="E74" s="225"/>
      <c r="F74" s="225"/>
      <c r="G74" s="225"/>
      <c r="H74" s="225"/>
      <c r="I74" s="225"/>
      <c r="J74" s="225"/>
      <c r="K74" s="225"/>
      <c r="L74" s="225"/>
      <c r="M74" s="225"/>
      <c r="N74" s="225"/>
      <c r="O74" s="225"/>
      <c r="P74" s="225"/>
      <c r="Q74" s="225"/>
      <c r="R74" s="225"/>
      <c r="S74" s="225"/>
      <c r="T74" s="225"/>
    </row>
    <row r="75" spans="2:20">
      <c r="B75" s="225"/>
      <c r="C75" s="225"/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  <c r="P75" s="225"/>
      <c r="Q75" s="225"/>
      <c r="R75" s="225"/>
      <c r="S75" s="225"/>
      <c r="T75" s="225"/>
    </row>
    <row r="76" spans="2:20">
      <c r="B76" s="225"/>
      <c r="C76" s="225"/>
      <c r="D76" s="225"/>
      <c r="E76" s="225"/>
      <c r="F76" s="225"/>
      <c r="G76" s="225"/>
      <c r="H76" s="225"/>
      <c r="I76" s="225"/>
      <c r="J76" s="225"/>
      <c r="K76" s="225"/>
      <c r="L76" s="225"/>
      <c r="M76" s="225"/>
      <c r="N76" s="225"/>
      <c r="O76" s="225"/>
      <c r="P76" s="225"/>
      <c r="Q76" s="225"/>
      <c r="R76" s="225"/>
      <c r="S76" s="225"/>
      <c r="T76" s="225"/>
    </row>
    <row r="77" spans="2:20">
      <c r="B77" s="225"/>
      <c r="C77" s="225"/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5"/>
      <c r="Q77" s="225"/>
      <c r="R77" s="225"/>
      <c r="S77" s="225"/>
      <c r="T77" s="225"/>
    </row>
    <row r="78" spans="2:20">
      <c r="B78" s="225"/>
      <c r="C78" s="225"/>
      <c r="D78" s="225"/>
      <c r="E78" s="225"/>
      <c r="F78" s="225"/>
      <c r="G78" s="225"/>
      <c r="H78" s="225"/>
      <c r="I78" s="225"/>
      <c r="J78" s="225"/>
      <c r="K78" s="225"/>
      <c r="L78" s="225"/>
      <c r="M78" s="225"/>
      <c r="N78" s="225"/>
      <c r="O78" s="225"/>
      <c r="P78" s="225"/>
      <c r="Q78" s="225"/>
      <c r="R78" s="225"/>
      <c r="S78" s="225"/>
      <c r="T78" s="225"/>
    </row>
    <row r="79" spans="2:20">
      <c r="B79" s="225"/>
      <c r="C79" s="225"/>
      <c r="D79" s="225"/>
      <c r="E79" s="225"/>
      <c r="F79" s="225"/>
      <c r="G79" s="225"/>
      <c r="H79" s="225"/>
      <c r="I79" s="225"/>
      <c r="J79" s="225"/>
      <c r="K79" s="225"/>
      <c r="L79" s="225"/>
      <c r="M79" s="225"/>
      <c r="N79" s="225"/>
      <c r="O79" s="225"/>
      <c r="P79" s="225"/>
      <c r="Q79" s="225"/>
      <c r="R79" s="225"/>
      <c r="S79" s="225"/>
      <c r="T79" s="225"/>
    </row>
    <row r="80" spans="2:20">
      <c r="B80" s="225"/>
      <c r="C80" s="225"/>
      <c r="D80" s="225"/>
      <c r="E80" s="225"/>
      <c r="F80" s="225"/>
      <c r="G80" s="225"/>
      <c r="H80" s="225"/>
      <c r="I80" s="225"/>
      <c r="J80" s="225"/>
      <c r="K80" s="225"/>
      <c r="L80" s="225"/>
      <c r="M80" s="225"/>
      <c r="N80" s="225"/>
      <c r="O80" s="225"/>
      <c r="P80" s="225"/>
      <c r="Q80" s="225"/>
      <c r="R80" s="225"/>
      <c r="S80" s="225"/>
      <c r="T80" s="225"/>
    </row>
    <row r="81" spans="2:20">
      <c r="B81" s="225"/>
      <c r="C81" s="225"/>
      <c r="D81" s="225"/>
      <c r="E81" s="225"/>
      <c r="F81" s="225"/>
      <c r="G81" s="225"/>
      <c r="H81" s="225"/>
      <c r="I81" s="225"/>
      <c r="J81" s="225"/>
      <c r="K81" s="225"/>
      <c r="L81" s="225"/>
      <c r="M81" s="225"/>
      <c r="N81" s="225"/>
      <c r="O81" s="225"/>
      <c r="P81" s="225"/>
      <c r="Q81" s="225"/>
      <c r="R81" s="225"/>
      <c r="S81" s="225"/>
      <c r="T81" s="225"/>
    </row>
    <row r="82" spans="2:20">
      <c r="B82" s="225"/>
      <c r="C82" s="225"/>
      <c r="D82" s="225"/>
      <c r="E82" s="225"/>
      <c r="F82" s="225"/>
      <c r="G82" s="225"/>
      <c r="H82" s="225"/>
      <c r="I82" s="225"/>
      <c r="J82" s="225"/>
      <c r="K82" s="225"/>
      <c r="L82" s="225"/>
      <c r="M82" s="225"/>
      <c r="N82" s="225"/>
      <c r="O82" s="225"/>
      <c r="P82" s="225"/>
      <c r="Q82" s="225"/>
      <c r="R82" s="225"/>
      <c r="S82" s="225"/>
      <c r="T82" s="225"/>
    </row>
  </sheetData>
  <mergeCells count="28">
    <mergeCell ref="A3:A7"/>
    <mergeCell ref="E4:E6"/>
    <mergeCell ref="F5:I5"/>
    <mergeCell ref="B3:E3"/>
    <mergeCell ref="F4:L4"/>
    <mergeCell ref="D4:D6"/>
    <mergeCell ref="J5:L5"/>
    <mergeCell ref="F3:L3"/>
    <mergeCell ref="B55:F55"/>
    <mergeCell ref="N58:T58"/>
    <mergeCell ref="M5:M6"/>
    <mergeCell ref="N5:N6"/>
    <mergeCell ref="N56:T56"/>
    <mergeCell ref="N55:T55"/>
    <mergeCell ref="T3:T7"/>
    <mergeCell ref="P4:P6"/>
    <mergeCell ref="O5:O6"/>
    <mergeCell ref="R3:R6"/>
    <mergeCell ref="C4:C6"/>
    <mergeCell ref="B4:B6"/>
    <mergeCell ref="S1:T1"/>
    <mergeCell ref="M4:O4"/>
    <mergeCell ref="J1:L1"/>
    <mergeCell ref="M1:N1"/>
    <mergeCell ref="S3:S6"/>
    <mergeCell ref="S2:T2"/>
    <mergeCell ref="Q3:Q6"/>
    <mergeCell ref="M3:O3"/>
  </mergeCells>
  <phoneticPr fontId="0" type="noConversion"/>
  <conditionalFormatting sqref="B12:T12 T8:T16 A8:A16 B8:S54">
    <cfRule type="expression" dxfId="5" priority="76" stopIfTrue="1">
      <formula>MOD(ROW(),2)=1</formula>
    </cfRule>
  </conditionalFormatting>
  <conditionalFormatting sqref="T13:T16 A13:A16">
    <cfRule type="expression" dxfId="4" priority="70" stopIfTrue="1">
      <formula>MOD(ROW(),2)=1</formula>
    </cfRule>
    <cfRule type="expression" priority="71" stopIfTrue="1">
      <formula>MOD(ROW(),2)=1</formula>
    </cfRule>
  </conditionalFormatting>
  <conditionalFormatting sqref="T14:T16 A14:A16">
    <cfRule type="expression" priority="67" stopIfTrue="1">
      <formula>MOD(row,0)=0</formula>
    </cfRule>
  </conditionalFormatting>
  <conditionalFormatting sqref="T14:T15 A14:A16">
    <cfRule type="expression" priority="62" stopIfTrue="1">
      <formula>MOD((((#REF!))),0)=0</formula>
    </cfRule>
  </conditionalFormatting>
  <conditionalFormatting sqref="T16">
    <cfRule type="expression" priority="16" stopIfTrue="1">
      <formula>MOD((((#REF!))),0)=0</formula>
    </cfRule>
  </conditionalFormatting>
  <pageMargins left="0.55118110236220497" right="0.47244094488188998" top="0.511811023622047" bottom="0.511811023622047" header="0" footer="0.39370078740157499"/>
  <pageSetup paperSize="448" firstPageNumber="18" orientation="portrait" useFirstPageNumber="1" r:id="rId1"/>
  <headerFooter alignWithMargins="0">
    <oddFooter>&amp;C&amp;"Times New Roman,Regular"&amp;8&amp;P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Cover Page</vt:lpstr>
      <vt:lpstr>Contents</vt:lpstr>
      <vt:lpstr>Table IA</vt:lpstr>
      <vt:lpstr>Table IB</vt:lpstr>
      <vt:lpstr>TableIIA</vt:lpstr>
      <vt:lpstr>TableIIB</vt:lpstr>
      <vt:lpstr>TableIIC </vt:lpstr>
      <vt:lpstr>Table IID</vt:lpstr>
      <vt:lpstr>Table IIE</vt:lpstr>
      <vt:lpstr>Table IIF</vt:lpstr>
      <vt:lpstr>Table IIG</vt:lpstr>
      <vt:lpstr>Table III A</vt:lpstr>
      <vt:lpstr>Table IIIB</vt:lpstr>
      <vt:lpstr>Table IV</vt:lpstr>
      <vt:lpstr>Table V</vt:lpstr>
      <vt:lpstr>Table VI</vt:lpstr>
      <vt:lpstr>Table VII</vt:lpstr>
      <vt:lpstr>Table VIII</vt:lpstr>
      <vt:lpstr>TableIXA</vt:lpstr>
      <vt:lpstr>TableIXB</vt:lpstr>
      <vt:lpstr>TableIXC</vt:lpstr>
      <vt:lpstr>TableX</vt:lpstr>
      <vt:lpstr>TableXI</vt:lpstr>
      <vt:lpstr>Table XIIA</vt:lpstr>
      <vt:lpstr>Table XIIB</vt:lpstr>
      <vt:lpstr>TableXIII</vt:lpstr>
      <vt:lpstr>Table XIV</vt:lpstr>
      <vt:lpstr>TableXV</vt:lpstr>
      <vt:lpstr>TableXVI</vt:lpstr>
      <vt:lpstr>Table XVII</vt:lpstr>
      <vt:lpstr>Table XVIII</vt:lpstr>
      <vt:lpstr>TableXIX</vt:lpstr>
      <vt:lpstr>TableXX</vt:lpstr>
      <vt:lpstr>TableXXI</vt:lpstr>
      <vt:lpstr>Table XXII</vt:lpstr>
      <vt:lpstr>Table XXIII</vt:lpstr>
      <vt:lpstr>Table XXIV</vt:lpstr>
      <vt:lpstr>Table XXV</vt:lpstr>
      <vt:lpstr>Table XXVI</vt:lpstr>
      <vt:lpstr>Table XXVII</vt:lpstr>
      <vt:lpstr>Appendix- Weights &amp; Measures</vt:lpstr>
    </vt:vector>
  </TitlesOfParts>
  <Company>icsl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</dc:creator>
  <cp:lastModifiedBy>knmukta</cp:lastModifiedBy>
  <cp:lastPrinted>2021-07-26T05:28:57Z</cp:lastPrinted>
  <dcterms:created xsi:type="dcterms:W3CDTF">2007-04-10T13:42:14Z</dcterms:created>
  <dcterms:modified xsi:type="dcterms:W3CDTF">2021-07-26T05:40:35Z</dcterms:modified>
</cp:coreProperties>
</file>