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4005" yWindow="3585" windowWidth="29040" windowHeight="16440"/>
  </bookViews>
  <sheets>
    <sheet name="RF magnitude" sheetId="1" r:id="rId1"/>
    <sheet name="Sheet2" sheetId="2" r:id="rId2"/>
    <sheet name="Sheet3" sheetId="3" r:id="rId3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" i="1"/>
  <c r="J106" l="1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05"/>
  <c r="G106"/>
  <c r="H106"/>
  <c r="G107"/>
  <c r="H107"/>
  <c r="G108"/>
  <c r="H108"/>
  <c r="G109"/>
  <c r="H109"/>
  <c r="G110"/>
  <c r="H110"/>
  <c r="G111"/>
  <c r="H111"/>
  <c r="G112"/>
  <c r="H112"/>
  <c r="G113"/>
  <c r="H113"/>
  <c r="G114"/>
  <c r="H114"/>
  <c r="G115"/>
  <c r="H115"/>
  <c r="G116"/>
  <c r="H116"/>
  <c r="G117"/>
  <c r="H117"/>
  <c r="G118"/>
  <c r="H118"/>
  <c r="G119"/>
  <c r="H119"/>
  <c r="G120"/>
  <c r="H120"/>
  <c r="G121"/>
  <c r="H121"/>
  <c r="G122"/>
  <c r="H122"/>
  <c r="G123"/>
  <c r="H123"/>
  <c r="G124"/>
  <c r="H124"/>
  <c r="G125"/>
  <c r="H125"/>
  <c r="G126"/>
  <c r="H126"/>
  <c r="G105"/>
  <c r="H105"/>
  <c r="N14"/>
  <c r="V3"/>
  <c r="V4"/>
  <c r="V6"/>
  <c r="V7"/>
  <c r="V8"/>
  <c r="V9"/>
  <c r="V10"/>
  <c r="V11"/>
  <c r="V2"/>
  <c r="W3"/>
  <c r="W4"/>
  <c r="W5"/>
  <c r="W6"/>
  <c r="W7"/>
  <c r="W8"/>
  <c r="W9"/>
  <c r="W10"/>
  <c r="W11"/>
  <c r="W2"/>
  <c r="U3"/>
  <c r="U4"/>
  <c r="U5"/>
  <c r="U6"/>
  <c r="U7"/>
  <c r="U8"/>
  <c r="U9"/>
  <c r="U10"/>
  <c r="U11"/>
  <c r="U2"/>
  <c r="T3"/>
  <c r="T4"/>
  <c r="T5"/>
  <c r="T6"/>
  <c r="T7"/>
  <c r="T8"/>
  <c r="T9"/>
  <c r="T10"/>
  <c r="T11"/>
  <c r="T2"/>
  <c r="S3"/>
  <c r="S4"/>
  <c r="S5"/>
  <c r="S6"/>
  <c r="S7"/>
  <c r="S8"/>
  <c r="S9"/>
  <c r="S10"/>
  <c r="S11"/>
  <c r="S2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05"/>
  <c r="Q3"/>
  <c r="Q4"/>
  <c r="Q5"/>
  <c r="Q6"/>
  <c r="Q7"/>
  <c r="Q8"/>
  <c r="Q9"/>
  <c r="Q10"/>
  <c r="Q11"/>
  <c r="P3"/>
  <c r="P4"/>
  <c r="P5"/>
  <c r="P6"/>
  <c r="P7"/>
  <c r="P8"/>
  <c r="P9"/>
  <c r="P10"/>
  <c r="P11"/>
  <c r="Q2"/>
  <c r="P2"/>
  <c r="O3"/>
  <c r="O4"/>
  <c r="O5"/>
  <c r="O6"/>
  <c r="O7"/>
  <c r="O8"/>
  <c r="O9"/>
  <c r="O10"/>
  <c r="O11"/>
  <c r="O2"/>
  <c r="H15"/>
  <c r="G15"/>
  <c r="H14"/>
  <c r="G14"/>
  <c r="H3"/>
  <c r="H4"/>
  <c r="H5"/>
  <c r="H6"/>
  <c r="H7"/>
  <c r="H8"/>
  <c r="H9"/>
  <c r="H10"/>
  <c r="H11"/>
  <c r="H2"/>
  <c r="G3"/>
  <c r="G4"/>
  <c r="G5"/>
  <c r="G6"/>
  <c r="G7"/>
  <c r="G8"/>
  <c r="G9"/>
  <c r="G10"/>
  <c r="G11"/>
  <c r="G2"/>
  <c r="F3"/>
  <c r="F4"/>
  <c r="F5"/>
  <c r="F6"/>
  <c r="F7"/>
  <c r="F8"/>
  <c r="F9"/>
  <c r="F10"/>
  <c r="F11"/>
  <c r="F2"/>
  <c r="F8" i="2"/>
  <c r="F5"/>
  <c r="G8"/>
  <c r="H8"/>
  <c r="F9"/>
  <c r="G9"/>
  <c r="H9"/>
  <c r="K7"/>
  <c r="K5"/>
  <c r="L7"/>
  <c r="F7"/>
  <c r="G7"/>
  <c r="H7"/>
  <c r="K6"/>
  <c r="F6"/>
  <c r="G6"/>
  <c r="H6"/>
  <c r="L5"/>
  <c r="G5"/>
  <c r="H5"/>
  <c r="K4"/>
  <c r="L4"/>
  <c r="F4"/>
  <c r="G4"/>
  <c r="H4"/>
  <c r="K3"/>
  <c r="F3"/>
  <c r="G3"/>
  <c r="H3"/>
  <c r="K2"/>
  <c r="F2"/>
  <c r="G2"/>
  <c r="H2"/>
  <c r="L3"/>
  <c r="L2"/>
  <c r="L6"/>
</calcChain>
</file>

<file path=xl/sharedStrings.xml><?xml version="1.0" encoding="utf-8"?>
<sst xmlns="http://schemas.openxmlformats.org/spreadsheetml/2006/main" count="51" uniqueCount="33">
  <si>
    <t>magnitude</t>
  </si>
  <si>
    <t>d1</t>
  </si>
  <si>
    <t>t1</t>
  </si>
  <si>
    <t>d2</t>
  </si>
  <si>
    <t>t2</t>
  </si>
  <si>
    <t>delta deg</t>
  </si>
  <si>
    <t>time</t>
  </si>
  <si>
    <t>feq</t>
  </si>
  <si>
    <t>Phase</t>
  </si>
  <si>
    <t>deg</t>
  </si>
  <si>
    <t>position</t>
  </si>
  <si>
    <t>Phase error 0.01</t>
  </si>
  <si>
    <t>amplitude error 0.01%</t>
  </si>
  <si>
    <t>bunch length[mm]</t>
  </si>
  <si>
    <t>bunch length[fs]</t>
  </si>
  <si>
    <t>delta fly time[fs]</t>
  </si>
  <si>
    <t>freq</t>
  </si>
  <si>
    <t>no error</t>
  </si>
  <si>
    <t>average</t>
  </si>
  <si>
    <t>std. dev.</t>
  </si>
  <si>
    <t>fly time [fs]</t>
  </si>
  <si>
    <t>fs</t>
  </si>
  <si>
    <t>Ebergy [MeV]</t>
  </si>
  <si>
    <t>Full range</t>
  </si>
  <si>
    <t>A =</t>
  </si>
  <si>
    <t>A_offset =</t>
  </si>
  <si>
    <t>p_offset =</t>
  </si>
  <si>
    <t>MeV</t>
  </si>
  <si>
    <t>deg.</t>
  </si>
  <si>
    <t>gamma</t>
  </si>
  <si>
    <t>beta</t>
  </si>
  <si>
    <t>t0 (fs)</t>
  </si>
  <si>
    <t>delta t (fs)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</si>
</sst>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00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Arrival time jitter</a:t>
            </a:r>
            <a:r>
              <a:rPr lang="en-US" baseline="0"/>
              <a:t> for 0.01% amplitude error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PARMELA simulations</c:v>
          </c:tx>
          <c:spPr>
            <a:ln w="47625">
              <a:noFill/>
            </a:ln>
          </c:spPr>
          <c:xVal>
            <c:numRef>
              <c:f>'RF magnitude'!$A$2:$A$11</c:f>
              <c:numCache>
                <c:formatCode>General</c:formatCode>
                <c:ptCount val="10"/>
                <c:pt idx="0">
                  <c:v>190</c:v>
                </c:pt>
                <c:pt idx="1">
                  <c:v>193</c:v>
                </c:pt>
                <c:pt idx="2">
                  <c:v>196</c:v>
                </c:pt>
                <c:pt idx="3">
                  <c:v>199</c:v>
                </c:pt>
                <c:pt idx="4">
                  <c:v>202</c:v>
                </c:pt>
                <c:pt idx="5">
                  <c:v>205</c:v>
                </c:pt>
                <c:pt idx="6">
                  <c:v>208</c:v>
                </c:pt>
                <c:pt idx="7">
                  <c:v>211</c:v>
                </c:pt>
                <c:pt idx="8">
                  <c:v>214</c:v>
                </c:pt>
                <c:pt idx="9">
                  <c:v>217</c:v>
                </c:pt>
              </c:numCache>
            </c:numRef>
          </c:xVal>
          <c:yVal>
            <c:numRef>
              <c:f>'RF magnitude'!$G$2:$G$11</c:f>
              <c:numCache>
                <c:formatCode>0.00</c:formatCode>
                <c:ptCount val="10"/>
                <c:pt idx="0">
                  <c:v>12.892843657126383</c:v>
                </c:pt>
                <c:pt idx="1">
                  <c:v>10.744036381020084</c:v>
                </c:pt>
                <c:pt idx="2">
                  <c:v>6.4464218283189014</c:v>
                </c:pt>
                <c:pt idx="3">
                  <c:v>17.190458209338985</c:v>
                </c:pt>
                <c:pt idx="4">
                  <c:v>10.744036380531501</c:v>
                </c:pt>
                <c:pt idx="5">
                  <c:v>19.339265485445289</c:v>
                </c:pt>
                <c:pt idx="6">
                  <c:v>12.892843657126383</c:v>
                </c:pt>
                <c:pt idx="7">
                  <c:v>10.744036381020084</c:v>
                </c:pt>
                <c:pt idx="8">
                  <c:v>12.892843656637803</c:v>
                </c:pt>
                <c:pt idx="9">
                  <c:v>12.892843657126383</c:v>
                </c:pt>
              </c:numCache>
            </c:numRef>
          </c:yVal>
        </c:ser>
        <c:ser>
          <c:idx val="1"/>
          <c:order val="1"/>
          <c:tx>
            <c:v>formula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'RF magnitude'!$A$2:$A$11</c:f>
              <c:numCache>
                <c:formatCode>General</c:formatCode>
                <c:ptCount val="10"/>
                <c:pt idx="0">
                  <c:v>190</c:v>
                </c:pt>
                <c:pt idx="1">
                  <c:v>193</c:v>
                </c:pt>
                <c:pt idx="2">
                  <c:v>196</c:v>
                </c:pt>
                <c:pt idx="3">
                  <c:v>199</c:v>
                </c:pt>
                <c:pt idx="4">
                  <c:v>202</c:v>
                </c:pt>
                <c:pt idx="5">
                  <c:v>205</c:v>
                </c:pt>
                <c:pt idx="6">
                  <c:v>208</c:v>
                </c:pt>
                <c:pt idx="7">
                  <c:v>211</c:v>
                </c:pt>
                <c:pt idx="8">
                  <c:v>214</c:v>
                </c:pt>
                <c:pt idx="9">
                  <c:v>217</c:v>
                </c:pt>
              </c:numCache>
            </c:numRef>
          </c:xVal>
          <c:yVal>
            <c:numRef>
              <c:f>'RF magnitude'!$U$2:$U$11</c:f>
              <c:numCache>
                <c:formatCode>0.00</c:formatCode>
                <c:ptCount val="10"/>
                <c:pt idx="0">
                  <c:v>14.323607390189006</c:v>
                </c:pt>
                <c:pt idx="1">
                  <c:v>14.004774401546245</c:v>
                </c:pt>
                <c:pt idx="2">
                  <c:v>13.598546511256203</c:v>
                </c:pt>
                <c:pt idx="3">
                  <c:v>13.22709694246968</c:v>
                </c:pt>
                <c:pt idx="4">
                  <c:v>12.787755148158517</c:v>
                </c:pt>
                <c:pt idx="5">
                  <c:v>12.334795823514678</c:v>
                </c:pt>
                <c:pt idx="6">
                  <c:v>11.87594919798981</c:v>
                </c:pt>
                <c:pt idx="7">
                  <c:v>11.421878051485741</c:v>
                </c:pt>
                <c:pt idx="8">
                  <c:v>10.980665655415603</c:v>
                </c:pt>
                <c:pt idx="9">
                  <c:v>10.558068259287122</c:v>
                </c:pt>
              </c:numCache>
            </c:numRef>
          </c:yVal>
        </c:ser>
        <c:dLbls/>
        <c:axId val="86760832"/>
        <c:axId val="86930944"/>
      </c:scatterChart>
      <c:valAx>
        <c:axId val="867608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RF phase, deg.</a:t>
                </a:r>
              </a:p>
            </c:rich>
          </c:tx>
          <c:layout/>
        </c:title>
        <c:numFmt formatCode="General" sourceLinked="1"/>
        <c:tickLblPos val="nextTo"/>
        <c:crossAx val="86930944"/>
        <c:crosses val="autoZero"/>
        <c:crossBetween val="midCat"/>
      </c:valAx>
      <c:valAx>
        <c:axId val="86930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arrival time jitter,</a:t>
                </a:r>
                <a:r>
                  <a:rPr lang="en-US" sz="1400" baseline="0"/>
                  <a:t> fs</a:t>
                </a:r>
                <a:endParaRPr lang="en-US" sz="1400"/>
              </a:p>
            </c:rich>
          </c:tx>
          <c:layout/>
        </c:title>
        <c:numFmt formatCode="0.00" sourceLinked="1"/>
        <c:tickLblPos val="nextTo"/>
        <c:crossAx val="86760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620209973753295"/>
          <c:y val="0.14258647630135701"/>
          <c:w val="0.18273991887377702"/>
          <c:h val="0.1260096397041279"/>
        </c:manualLayout>
      </c:layout>
      <c:overlay val="1"/>
      <c:spPr>
        <a:solidFill>
          <a:srgbClr val="FFFFFF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c:spPr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Arrival time jitter</a:t>
            </a:r>
            <a:r>
              <a:rPr lang="en-US" baseline="0"/>
              <a:t> </a:t>
            </a:r>
            <a:r>
              <a:rPr lang="en-US" i="0" baseline="0"/>
              <a:t>for</a:t>
            </a:r>
            <a:r>
              <a:rPr lang="en-US" i="1" baseline="0"/>
              <a:t> </a:t>
            </a:r>
            <a:r>
              <a:rPr lang="en-US" i="0" baseline="0"/>
              <a:t>0.01 deg. phase error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PARMELA simulation</c:v>
          </c:tx>
          <c:spPr>
            <a:ln w="47625">
              <a:noFill/>
            </a:ln>
          </c:spPr>
          <c:xVal>
            <c:numRef>
              <c:f>'RF magnitude'!$A$2:$A$11</c:f>
              <c:numCache>
                <c:formatCode>General</c:formatCode>
                <c:ptCount val="10"/>
                <c:pt idx="0">
                  <c:v>190</c:v>
                </c:pt>
                <c:pt idx="1">
                  <c:v>193</c:v>
                </c:pt>
                <c:pt idx="2">
                  <c:v>196</c:v>
                </c:pt>
                <c:pt idx="3">
                  <c:v>199</c:v>
                </c:pt>
                <c:pt idx="4">
                  <c:v>202</c:v>
                </c:pt>
                <c:pt idx="5">
                  <c:v>205</c:v>
                </c:pt>
                <c:pt idx="6">
                  <c:v>208</c:v>
                </c:pt>
                <c:pt idx="7">
                  <c:v>211</c:v>
                </c:pt>
                <c:pt idx="8">
                  <c:v>214</c:v>
                </c:pt>
                <c:pt idx="9">
                  <c:v>217</c:v>
                </c:pt>
              </c:numCache>
            </c:numRef>
          </c:xVal>
          <c:yVal>
            <c:numRef>
              <c:f>'RF magnitude'!$H$2:$H$11</c:f>
              <c:numCache>
                <c:formatCode>0.00</c:formatCode>
                <c:ptCount val="10"/>
                <c:pt idx="0">
                  <c:v>21.488072761551582</c:v>
                </c:pt>
                <c:pt idx="1">
                  <c:v>19.339265485445289</c:v>
                </c:pt>
                <c:pt idx="2">
                  <c:v>6.4464218283189014</c:v>
                </c:pt>
                <c:pt idx="3">
                  <c:v>17.190458209338985</c:v>
                </c:pt>
                <c:pt idx="4">
                  <c:v>23.636880037657885</c:v>
                </c:pt>
                <c:pt idx="5">
                  <c:v>19.339265485445289</c:v>
                </c:pt>
                <c:pt idx="6">
                  <c:v>19.339265485445289</c:v>
                </c:pt>
                <c:pt idx="7">
                  <c:v>17.190458209338985</c:v>
                </c:pt>
                <c:pt idx="8">
                  <c:v>15.041650932744101</c:v>
                </c:pt>
                <c:pt idx="9">
                  <c:v>17.190458209338985</c:v>
                </c:pt>
              </c:numCache>
            </c:numRef>
          </c:yVal>
        </c:ser>
        <c:ser>
          <c:idx val="1"/>
          <c:order val="1"/>
          <c:tx>
            <c:v>formula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'RF magnitude'!$A$2:$A$11</c:f>
              <c:numCache>
                <c:formatCode>General</c:formatCode>
                <c:ptCount val="10"/>
                <c:pt idx="0">
                  <c:v>190</c:v>
                </c:pt>
                <c:pt idx="1">
                  <c:v>193</c:v>
                </c:pt>
                <c:pt idx="2">
                  <c:v>196</c:v>
                </c:pt>
                <c:pt idx="3">
                  <c:v>199</c:v>
                </c:pt>
                <c:pt idx="4">
                  <c:v>202</c:v>
                </c:pt>
                <c:pt idx="5">
                  <c:v>205</c:v>
                </c:pt>
                <c:pt idx="6">
                  <c:v>208</c:v>
                </c:pt>
                <c:pt idx="7">
                  <c:v>211</c:v>
                </c:pt>
                <c:pt idx="8">
                  <c:v>214</c:v>
                </c:pt>
                <c:pt idx="9">
                  <c:v>217</c:v>
                </c:pt>
              </c:numCache>
            </c:numRef>
          </c:xVal>
          <c:yVal>
            <c:numRef>
              <c:f>'RF magnitude'!$V$2:$V$11</c:f>
              <c:numCache>
                <c:formatCode>0.00</c:formatCode>
                <c:ptCount val="10"/>
                <c:pt idx="0">
                  <c:v>17.298265460400682</c:v>
                </c:pt>
                <c:pt idx="1">
                  <c:v>16.319887292312881</c:v>
                </c:pt>
                <c:pt idx="2">
                  <c:v>15.594476052411428</c:v>
                </c:pt>
                <c:pt idx="3">
                  <c:v>15.040457281549724</c:v>
                </c:pt>
                <c:pt idx="4">
                  <c:v>14.714478754217488</c:v>
                </c:pt>
                <c:pt idx="5">
                  <c:v>14.565152100233618</c:v>
                </c:pt>
                <c:pt idx="6">
                  <c:v>14.568710296535761</c:v>
                </c:pt>
                <c:pt idx="7">
                  <c:v>14.697597133485768</c:v>
                </c:pt>
                <c:pt idx="8">
                  <c:v>14.9264786308932</c:v>
                </c:pt>
                <c:pt idx="9">
                  <c:v>15.233328566535208</c:v>
                </c:pt>
              </c:numCache>
            </c:numRef>
          </c:yVal>
        </c:ser>
        <c:dLbls/>
        <c:axId val="51093504"/>
        <c:axId val="51095424"/>
      </c:scatterChart>
      <c:valAx>
        <c:axId val="510935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RF phase, deg.</a:t>
                </a:r>
              </a:p>
            </c:rich>
          </c:tx>
          <c:layout/>
        </c:title>
        <c:numFmt formatCode="General" sourceLinked="1"/>
        <c:tickLblPos val="nextTo"/>
        <c:crossAx val="51095424"/>
        <c:crosses val="autoZero"/>
        <c:crossBetween val="midCat"/>
      </c:valAx>
      <c:valAx>
        <c:axId val="51095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arrival time jitter, fs</a:t>
                </a:r>
              </a:p>
            </c:rich>
          </c:tx>
          <c:layout/>
        </c:title>
        <c:numFmt formatCode="0.00" sourceLinked="1"/>
        <c:tickLblPos val="nextTo"/>
        <c:crossAx val="51093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38704389080703"/>
          <c:y val="0.13693566960256401"/>
          <c:w val="0.18406505377679505"/>
          <c:h val="0.10583880572240699"/>
        </c:manualLayout>
      </c:layout>
      <c:overlay val="1"/>
      <c:spPr>
        <a:solidFill>
          <a:srgbClr val="FFFFFF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c:spPr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Fly time </a:t>
            </a:r>
            <a:r>
              <a:rPr lang="en-US" i="1" baseline="0"/>
              <a:t>vs. </a:t>
            </a:r>
            <a:r>
              <a:rPr lang="en-US" i="0" baseline="0"/>
              <a:t>RF phase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noFill/>
            </a:ln>
          </c:spPr>
          <c:marker>
            <c:symbol val="diamond"/>
            <c:size val="8"/>
          </c:marker>
          <c:xVal>
            <c:numRef>
              <c:f>'RF magnitude'!$A$2:$A$11</c:f>
              <c:numCache>
                <c:formatCode>General</c:formatCode>
                <c:ptCount val="10"/>
                <c:pt idx="0">
                  <c:v>190</c:v>
                </c:pt>
                <c:pt idx="1">
                  <c:v>193</c:v>
                </c:pt>
                <c:pt idx="2">
                  <c:v>196</c:v>
                </c:pt>
                <c:pt idx="3">
                  <c:v>199</c:v>
                </c:pt>
                <c:pt idx="4">
                  <c:v>202</c:v>
                </c:pt>
                <c:pt idx="5">
                  <c:v>205</c:v>
                </c:pt>
                <c:pt idx="6">
                  <c:v>208</c:v>
                </c:pt>
                <c:pt idx="7">
                  <c:v>211</c:v>
                </c:pt>
                <c:pt idx="8">
                  <c:v>214</c:v>
                </c:pt>
                <c:pt idx="9">
                  <c:v>217</c:v>
                </c:pt>
              </c:numCache>
            </c:numRef>
          </c:xVal>
          <c:yVal>
            <c:numRef>
              <c:f>'RF magnitude'!$O$2:$O$11</c:f>
              <c:numCache>
                <c:formatCode>0.00</c:formatCode>
                <c:ptCount val="10"/>
                <c:pt idx="0">
                  <c:v>3520401.7045645788</c:v>
                </c:pt>
                <c:pt idx="1">
                  <c:v>3513108.6526693013</c:v>
                </c:pt>
                <c:pt idx="2">
                  <c:v>3505858.5769195473</c:v>
                </c:pt>
                <c:pt idx="3">
                  <c:v>3498797.5962100951</c:v>
                </c:pt>
                <c:pt idx="4">
                  <c:v>3491964.3890719158</c:v>
                </c:pt>
                <c:pt idx="5">
                  <c:v>3485429.8661451219</c:v>
                </c:pt>
                <c:pt idx="6">
                  <c:v>3479260.6404552748</c:v>
                </c:pt>
                <c:pt idx="7">
                  <c:v>3473476.05126786</c:v>
                </c:pt>
                <c:pt idx="8">
                  <c:v>3468099.7354629147</c:v>
                </c:pt>
                <c:pt idx="9">
                  <c:v>3463148.8834986486</c:v>
                </c:pt>
              </c:numCache>
            </c:numRef>
          </c:yVal>
        </c:ser>
        <c:dLbls/>
        <c:axId val="115214592"/>
        <c:axId val="115229056"/>
      </c:scatterChart>
      <c:valAx>
        <c:axId val="1152145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RF phase, deg.</a:t>
                </a:r>
              </a:p>
            </c:rich>
          </c:tx>
          <c:layout/>
        </c:title>
        <c:numFmt formatCode="General" sourceLinked="1"/>
        <c:tickLblPos val="nextTo"/>
        <c:crossAx val="115229056"/>
        <c:crosses val="autoZero"/>
        <c:crossBetween val="midCat"/>
      </c:valAx>
      <c:valAx>
        <c:axId val="115229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fly time, fs</a:t>
                </a:r>
              </a:p>
            </c:rich>
          </c:tx>
          <c:layout/>
        </c:title>
        <c:numFmt formatCode="0.00" sourceLinked="1"/>
        <c:tickLblPos val="nextTo"/>
        <c:crossAx val="115214592"/>
        <c:crosses val="autoZero"/>
        <c:crossBetween val="midCat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Bunch</a:t>
            </a:r>
            <a:r>
              <a:rPr lang="en-US" baseline="0"/>
              <a:t> duration</a:t>
            </a:r>
            <a:r>
              <a:rPr lang="en-US"/>
              <a:t> </a:t>
            </a:r>
            <a:r>
              <a:rPr lang="en-US" i="1" baseline="0"/>
              <a:t>vs. </a:t>
            </a:r>
            <a:r>
              <a:rPr lang="en-US" i="0" baseline="0"/>
              <a:t>RF phase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xVal>
            <c:numRef>
              <c:f>'RF magnitude'!$A$2:$A$11</c:f>
              <c:numCache>
                <c:formatCode>General</c:formatCode>
                <c:ptCount val="10"/>
                <c:pt idx="0">
                  <c:v>190</c:v>
                </c:pt>
                <c:pt idx="1">
                  <c:v>193</c:v>
                </c:pt>
                <c:pt idx="2">
                  <c:v>196</c:v>
                </c:pt>
                <c:pt idx="3">
                  <c:v>199</c:v>
                </c:pt>
                <c:pt idx="4">
                  <c:v>202</c:v>
                </c:pt>
                <c:pt idx="5">
                  <c:v>205</c:v>
                </c:pt>
                <c:pt idx="6">
                  <c:v>208</c:v>
                </c:pt>
                <c:pt idx="7">
                  <c:v>211</c:v>
                </c:pt>
                <c:pt idx="8">
                  <c:v>214</c:v>
                </c:pt>
                <c:pt idx="9">
                  <c:v>217</c:v>
                </c:pt>
              </c:numCache>
            </c:numRef>
          </c:xVal>
          <c:yVal>
            <c:numRef>
              <c:f>'RF magnitude'!$F$2:$F$11</c:f>
              <c:numCache>
                <c:formatCode>0.00</c:formatCode>
                <c:ptCount val="10"/>
                <c:pt idx="0">
                  <c:v>41.788133333333334</c:v>
                </c:pt>
                <c:pt idx="1">
                  <c:v>28.545199999999998</c:v>
                </c:pt>
                <c:pt idx="2">
                  <c:v>17.544720000000002</c:v>
                </c:pt>
                <c:pt idx="3">
                  <c:v>9.1671800000000001</c:v>
                </c:pt>
                <c:pt idx="4">
                  <c:v>16.515646666666665</c:v>
                </c:pt>
                <c:pt idx="5">
                  <c:v>24.7502</c:v>
                </c:pt>
                <c:pt idx="6">
                  <c:v>31.364599999999999</c:v>
                </c:pt>
                <c:pt idx="7">
                  <c:v>39.619533333333337</c:v>
                </c:pt>
                <c:pt idx="8">
                  <c:v>46.783733333333331</c:v>
                </c:pt>
                <c:pt idx="9">
                  <c:v>54.752800000000001</c:v>
                </c:pt>
              </c:numCache>
            </c:numRef>
          </c:yVal>
        </c:ser>
        <c:dLbls/>
        <c:axId val="115249536"/>
        <c:axId val="115251456"/>
      </c:scatterChart>
      <c:valAx>
        <c:axId val="1152495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RF phase, deg.</a:t>
                </a:r>
              </a:p>
            </c:rich>
          </c:tx>
          <c:layout/>
        </c:title>
        <c:numFmt formatCode="General" sourceLinked="1"/>
        <c:tickLblPos val="nextTo"/>
        <c:crossAx val="115251456"/>
        <c:crosses val="autoZero"/>
        <c:crossBetween val="midCat"/>
      </c:valAx>
      <c:valAx>
        <c:axId val="115251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bunch</a:t>
                </a:r>
                <a:r>
                  <a:rPr lang="en-US" sz="1400" baseline="0"/>
                  <a:t> duration</a:t>
                </a:r>
                <a:r>
                  <a:rPr lang="en-US" sz="1400"/>
                  <a:t>, fs</a:t>
                </a:r>
              </a:p>
            </c:rich>
          </c:tx>
          <c:layout/>
        </c:title>
        <c:numFmt formatCode="0.00" sourceLinked="1"/>
        <c:tickLblPos val="nextTo"/>
        <c:crossAx val="115249536"/>
        <c:crosses val="autoZero"/>
        <c:crossBetween val="midCat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Beam</a:t>
            </a:r>
            <a:r>
              <a:rPr lang="en-US" baseline="0"/>
              <a:t> energy</a:t>
            </a:r>
            <a:r>
              <a:rPr lang="en-US"/>
              <a:t> </a:t>
            </a:r>
            <a:r>
              <a:rPr lang="en-US" i="1" baseline="0"/>
              <a:t>vs. </a:t>
            </a:r>
            <a:r>
              <a:rPr lang="en-US" i="0" baseline="0"/>
              <a:t>RF phase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PARMELA simulations</c:v>
          </c:tx>
          <c:spPr>
            <a:ln w="47625">
              <a:noFill/>
            </a:ln>
          </c:spPr>
          <c:trendline>
            <c:trendlineType val="poly"/>
            <c:order val="3"/>
            <c:dispEq val="1"/>
            <c:trendlineLbl>
              <c:layout>
                <c:manualLayout>
                  <c:x val="-3.3817531483643408E-2"/>
                  <c:y val="-7.9270486446111232E-2"/>
                </c:manualLayout>
              </c:layout>
              <c:numFmt formatCode="0.000E+00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'RF magnitude'!$A$105:$A$126</c:f>
              <c:numCache>
                <c:formatCode>General</c:formatCode>
                <c:ptCount val="22"/>
                <c:pt idx="0">
                  <c:v>185</c:v>
                </c:pt>
                <c:pt idx="1">
                  <c:v>190</c:v>
                </c:pt>
                <c:pt idx="2">
                  <c:v>195</c:v>
                </c:pt>
                <c:pt idx="3">
                  <c:v>200</c:v>
                </c:pt>
                <c:pt idx="4">
                  <c:v>205</c:v>
                </c:pt>
                <c:pt idx="5">
                  <c:v>210</c:v>
                </c:pt>
                <c:pt idx="6">
                  <c:v>215</c:v>
                </c:pt>
                <c:pt idx="7">
                  <c:v>220</c:v>
                </c:pt>
                <c:pt idx="8">
                  <c:v>225</c:v>
                </c:pt>
                <c:pt idx="9">
                  <c:v>230</c:v>
                </c:pt>
                <c:pt idx="10">
                  <c:v>235</c:v>
                </c:pt>
                <c:pt idx="11">
                  <c:v>240</c:v>
                </c:pt>
                <c:pt idx="12">
                  <c:v>245</c:v>
                </c:pt>
                <c:pt idx="13">
                  <c:v>250</c:v>
                </c:pt>
                <c:pt idx="14">
                  <c:v>255</c:v>
                </c:pt>
                <c:pt idx="15">
                  <c:v>260</c:v>
                </c:pt>
                <c:pt idx="16">
                  <c:v>265</c:v>
                </c:pt>
                <c:pt idx="17">
                  <c:v>270</c:v>
                </c:pt>
                <c:pt idx="18">
                  <c:v>275</c:v>
                </c:pt>
                <c:pt idx="19">
                  <c:v>280</c:v>
                </c:pt>
                <c:pt idx="20">
                  <c:v>285</c:v>
                </c:pt>
                <c:pt idx="21">
                  <c:v>290</c:v>
                </c:pt>
              </c:numCache>
            </c:numRef>
          </c:xVal>
          <c:yVal>
            <c:numRef>
              <c:f>'RF magnitude'!$D$105:$D$126</c:f>
              <c:numCache>
                <c:formatCode>0.000000</c:formatCode>
                <c:ptCount val="22"/>
                <c:pt idx="0">
                  <c:v>1.9503729999999999</c:v>
                </c:pt>
                <c:pt idx="1">
                  <c:v>1.981562</c:v>
                </c:pt>
                <c:pt idx="2">
                  <c:v>2.0303789999999999</c:v>
                </c:pt>
                <c:pt idx="3">
                  <c:v>2.0945130000000001</c:v>
                </c:pt>
                <c:pt idx="4">
                  <c:v>2.1709990000000001</c:v>
                </c:pt>
                <c:pt idx="5">
                  <c:v>2.2563430000000002</c:v>
                </c:pt>
                <c:pt idx="6">
                  <c:v>2.3470559999999998</c:v>
                </c:pt>
                <c:pt idx="7">
                  <c:v>2.4394559999999998</c:v>
                </c:pt>
                <c:pt idx="8">
                  <c:v>2.5300039999999999</c:v>
                </c:pt>
                <c:pt idx="9">
                  <c:v>2.6153369999999998</c:v>
                </c:pt>
                <c:pt idx="10">
                  <c:v>2.6922999999999999</c:v>
                </c:pt>
                <c:pt idx="11">
                  <c:v>2.7579349999999998</c:v>
                </c:pt>
                <c:pt idx="12">
                  <c:v>2.80945</c:v>
                </c:pt>
                <c:pt idx="13">
                  <c:v>2.8441730000000001</c:v>
                </c:pt>
                <c:pt idx="14">
                  <c:v>2.8594870000000001</c:v>
                </c:pt>
                <c:pt idx="15">
                  <c:v>2.8527369999999999</c:v>
                </c:pt>
                <c:pt idx="16">
                  <c:v>2.8210929999999999</c:v>
                </c:pt>
                <c:pt idx="17">
                  <c:v>2.7613340000000002</c:v>
                </c:pt>
                <c:pt idx="18">
                  <c:v>2.6694900000000001</c:v>
                </c:pt>
                <c:pt idx="19">
                  <c:v>2.5402079999999998</c:v>
                </c:pt>
                <c:pt idx="20">
                  <c:v>2.3654989999999998</c:v>
                </c:pt>
                <c:pt idx="21">
                  <c:v>2.1320299999999999</c:v>
                </c:pt>
              </c:numCache>
            </c:numRef>
          </c:yVal>
        </c:ser>
        <c:ser>
          <c:idx val="1"/>
          <c:order val="1"/>
          <c:tx>
            <c:v>cosine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'RF magnitude'!$A$105:$A$126</c:f>
              <c:numCache>
                <c:formatCode>General</c:formatCode>
                <c:ptCount val="22"/>
                <c:pt idx="0">
                  <c:v>185</c:v>
                </c:pt>
                <c:pt idx="1">
                  <c:v>190</c:v>
                </c:pt>
                <c:pt idx="2">
                  <c:v>195</c:v>
                </c:pt>
                <c:pt idx="3">
                  <c:v>200</c:v>
                </c:pt>
                <c:pt idx="4">
                  <c:v>205</c:v>
                </c:pt>
                <c:pt idx="5">
                  <c:v>210</c:v>
                </c:pt>
                <c:pt idx="6">
                  <c:v>215</c:v>
                </c:pt>
                <c:pt idx="7">
                  <c:v>220</c:v>
                </c:pt>
                <c:pt idx="8">
                  <c:v>225</c:v>
                </c:pt>
                <c:pt idx="9">
                  <c:v>230</c:v>
                </c:pt>
                <c:pt idx="10">
                  <c:v>235</c:v>
                </c:pt>
                <c:pt idx="11">
                  <c:v>240</c:v>
                </c:pt>
                <c:pt idx="12">
                  <c:v>245</c:v>
                </c:pt>
                <c:pt idx="13">
                  <c:v>250</c:v>
                </c:pt>
                <c:pt idx="14">
                  <c:v>255</c:v>
                </c:pt>
                <c:pt idx="15">
                  <c:v>260</c:v>
                </c:pt>
                <c:pt idx="16">
                  <c:v>265</c:v>
                </c:pt>
                <c:pt idx="17">
                  <c:v>270</c:v>
                </c:pt>
                <c:pt idx="18">
                  <c:v>275</c:v>
                </c:pt>
                <c:pt idx="19">
                  <c:v>280</c:v>
                </c:pt>
                <c:pt idx="20">
                  <c:v>285</c:v>
                </c:pt>
                <c:pt idx="21">
                  <c:v>290</c:v>
                </c:pt>
              </c:numCache>
            </c:numRef>
          </c:xVal>
          <c:yVal>
            <c:numRef>
              <c:f>'RF magnitude'!$F$105:$F$126</c:f>
              <c:numCache>
                <c:formatCode>0.00</c:formatCode>
                <c:ptCount val="22"/>
                <c:pt idx="0">
                  <c:v>0.95468761740858477</c:v>
                </c:pt>
                <c:pt idx="1">
                  <c:v>1.1860226739968438</c:v>
                </c:pt>
                <c:pt idx="2">
                  <c:v>1.4083313818959158</c:v>
                </c:pt>
                <c:pt idx="3">
                  <c:v>1.6199218376050217</c:v>
                </c:pt>
                <c:pt idx="4">
                  <c:v>1.8191837099944048</c:v>
                </c:pt>
                <c:pt idx="5">
                  <c:v>2.0046004958975736</c:v>
                </c:pt>
                <c:pt idx="6">
                  <c:v>2.1747610616160884</c:v>
                </c:pt>
                <c:pt idx="7">
                  <c:v>2.3283703824990729</c:v>
                </c:pt>
                <c:pt idx="8">
                  <c:v>2.4642593988627639</c:v>
                </c:pt>
                <c:pt idx="9">
                  <c:v>2.5813939132406012</c:v>
                </c:pt>
                <c:pt idx="10">
                  <c:v>2.6788824612504167</c:v>
                </c:pt>
                <c:pt idx="11">
                  <c:v>2.7559830961766614</c:v>
                </c:pt>
                <c:pt idx="12">
                  <c:v>2.8121090356329099</c:v>
                </c:pt>
                <c:pt idx="13">
                  <c:v>2.8468331273301315</c:v>
                </c:pt>
                <c:pt idx="14">
                  <c:v>2.8598910999635296</c:v>
                </c:pt>
                <c:pt idx="15">
                  <c:v>2.851183574476746</c:v>
                </c:pt>
                <c:pt idx="16">
                  <c:v>2.8207768203964818</c:v>
                </c:pt>
                <c:pt idx="17">
                  <c:v>2.7689022514813879</c:v>
                </c:pt>
                <c:pt idx="18">
                  <c:v>2.6959546645236303</c:v>
                </c:pt>
                <c:pt idx="19">
                  <c:v>2.6024892347069133</c:v>
                </c:pt>
                <c:pt idx="20">
                  <c:v>2.4892172903881131</c:v>
                </c:pt>
                <c:pt idx="21">
                  <c:v>2.3570008994589644</c:v>
                </c:pt>
              </c:numCache>
            </c:numRef>
          </c:yVal>
        </c:ser>
        <c:dLbls/>
        <c:axId val="110148224"/>
        <c:axId val="110162688"/>
      </c:scatterChart>
      <c:valAx>
        <c:axId val="110148224"/>
        <c:scaling>
          <c:orientation val="minMax"/>
          <c:max val="290"/>
          <c:min val="185"/>
        </c:scaling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RF phase, deg.</a:t>
                </a:r>
              </a:p>
            </c:rich>
          </c:tx>
          <c:layout/>
        </c:title>
        <c:numFmt formatCode="General" sourceLinked="1"/>
        <c:minorTickMark val="cross"/>
        <c:tickLblPos val="nextTo"/>
        <c:crossAx val="110162688"/>
        <c:crosses val="autoZero"/>
        <c:crossBetween val="midCat"/>
        <c:majorUnit val="5"/>
        <c:minorUnit val="1"/>
      </c:valAx>
      <c:valAx>
        <c:axId val="110162688"/>
        <c:scaling>
          <c:orientation val="minMax"/>
          <c:max val="3"/>
          <c:min val="1.900000000000000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Beam</a:t>
                </a:r>
                <a:r>
                  <a:rPr lang="en-US" sz="1400" baseline="0"/>
                  <a:t> energy</a:t>
                </a:r>
                <a:r>
                  <a:rPr lang="en-US" sz="1400"/>
                  <a:t>, MeV</a:t>
                </a:r>
              </a:p>
            </c:rich>
          </c:tx>
          <c:layout/>
        </c:title>
        <c:numFmt formatCode="0.0" sourceLinked="0"/>
        <c:minorTickMark val="cross"/>
        <c:tickLblPos val="nextTo"/>
        <c:crossAx val="110148224"/>
        <c:crosses val="autoZero"/>
        <c:crossBetween val="midCat"/>
        <c:majorUnit val="0.1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12776025236593103"/>
          <c:y val="0.16317678669612901"/>
          <c:w val="0.234572145358802"/>
          <c:h val="0.1587582085836110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c:spPr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17</xdr:row>
      <xdr:rowOff>44450</xdr:rowOff>
    </xdr:from>
    <xdr:to>
      <xdr:col>9</xdr:col>
      <xdr:colOff>495300</xdr:colOff>
      <xdr:row>44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965200</xdr:colOff>
      <xdr:row>17</xdr:row>
      <xdr:rowOff>44450</xdr:rowOff>
    </xdr:from>
    <xdr:to>
      <xdr:col>19</xdr:col>
      <xdr:colOff>482600</xdr:colOff>
      <xdr:row>44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46</xdr:row>
      <xdr:rowOff>38100</xdr:rowOff>
    </xdr:from>
    <xdr:to>
      <xdr:col>9</xdr:col>
      <xdr:colOff>482600</xdr:colOff>
      <xdr:row>73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965200</xdr:colOff>
      <xdr:row>46</xdr:row>
      <xdr:rowOff>0</xdr:rowOff>
    </xdr:from>
    <xdr:to>
      <xdr:col>19</xdr:col>
      <xdr:colOff>482600</xdr:colOff>
      <xdr:row>73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1003300</xdr:colOff>
      <xdr:row>74</xdr:row>
      <xdr:rowOff>165100</xdr:rowOff>
    </xdr:from>
    <xdr:to>
      <xdr:col>19</xdr:col>
      <xdr:colOff>520700</xdr:colOff>
      <xdr:row>102</xdr:row>
      <xdr:rowOff>6350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28"/>
  <sheetViews>
    <sheetView tabSelected="1" topLeftCell="E1" workbookViewId="0">
      <selection activeCell="V5" sqref="V5"/>
    </sheetView>
  </sheetViews>
  <sheetFormatPr defaultColWidth="8.85546875" defaultRowHeight="15"/>
  <cols>
    <col min="1" max="1" width="7.85546875" customWidth="1"/>
    <col min="2" max="2" width="9.140625" bestFit="1" customWidth="1"/>
    <col min="4" max="4" width="11.7109375" bestFit="1" customWidth="1"/>
    <col min="5" max="5" width="15.140625" bestFit="1" customWidth="1"/>
    <col min="6" max="6" width="13.42578125" bestFit="1" customWidth="1"/>
    <col min="7" max="7" width="18.140625" bestFit="1" customWidth="1"/>
    <col min="8" max="8" width="13.42578125" bestFit="1" customWidth="1"/>
    <col min="9" max="9" width="8.85546875" bestFit="1" customWidth="1"/>
    <col min="10" max="10" width="18.140625" bestFit="1" customWidth="1"/>
    <col min="11" max="11" width="3.140625" customWidth="1"/>
    <col min="12" max="12" width="13.42578125" style="1" bestFit="1" customWidth="1"/>
    <col min="13" max="13" width="4.28515625" bestFit="1" customWidth="1"/>
    <col min="14" max="14" width="12.140625" bestFit="1" customWidth="1"/>
    <col min="15" max="15" width="11.28515625" customWidth="1"/>
    <col min="16" max="16" width="18.140625" bestFit="1" customWidth="1"/>
    <col min="17" max="17" width="13.42578125" bestFit="1" customWidth="1"/>
    <col min="21" max="21" width="18.140625" bestFit="1" customWidth="1"/>
    <col min="22" max="22" width="13.42578125" bestFit="1" customWidth="1"/>
  </cols>
  <sheetData>
    <row r="1" spans="1:23" s="6" customFormat="1">
      <c r="A1" s="6" t="s">
        <v>8</v>
      </c>
      <c r="B1" s="6" t="s">
        <v>9</v>
      </c>
      <c r="C1" s="6" t="s">
        <v>10</v>
      </c>
      <c r="D1" s="6" t="s">
        <v>22</v>
      </c>
      <c r="E1" s="6" t="s">
        <v>13</v>
      </c>
      <c r="F1" s="6" t="s">
        <v>14</v>
      </c>
      <c r="G1" s="6" t="s">
        <v>15</v>
      </c>
      <c r="H1" s="6" t="s">
        <v>15</v>
      </c>
      <c r="J1" s="6" t="s">
        <v>9</v>
      </c>
      <c r="L1" s="7" t="s">
        <v>9</v>
      </c>
      <c r="M1" s="7" t="s">
        <v>16</v>
      </c>
      <c r="N1" s="6">
        <v>1292706800</v>
      </c>
      <c r="O1" s="6" t="s">
        <v>20</v>
      </c>
      <c r="R1" s="6">
        <v>0.51099905999999995</v>
      </c>
      <c r="S1" s="6" t="s">
        <v>29</v>
      </c>
      <c r="T1" s="6" t="s">
        <v>30</v>
      </c>
      <c r="U1" s="6" t="s">
        <v>32</v>
      </c>
      <c r="V1" s="6" t="s">
        <v>32</v>
      </c>
      <c r="W1" s="6" t="s">
        <v>31</v>
      </c>
    </row>
    <row r="2" spans="1:23">
      <c r="A2">
        <v>190</v>
      </c>
      <c r="B2" s="1">
        <v>1638.3050000000001</v>
      </c>
      <c r="C2">
        <v>100.0001</v>
      </c>
      <c r="D2">
        <v>1.98156</v>
      </c>
      <c r="E2" s="2">
        <v>1.2536439999999999E-2</v>
      </c>
      <c r="F2" s="5">
        <f>10^15*(E2/1000)/(3*10^8)</f>
        <v>41.788133333333334</v>
      </c>
      <c r="G2" s="9">
        <f>10^15*ABS(B2-J2)/360/$N$1</f>
        <v>12.892843657126383</v>
      </c>
      <c r="H2" s="9">
        <f>10^15*ABS(B2-L2)/360/$N$1</f>
        <v>21.488072761551582</v>
      </c>
      <c r="I2" s="1"/>
      <c r="J2">
        <v>1638.299</v>
      </c>
      <c r="L2" s="1">
        <v>1638.2950000000001</v>
      </c>
      <c r="M2" s="2"/>
      <c r="N2" s="2"/>
      <c r="O2" s="5">
        <f>1000000000000000*B2/360/$N$1</f>
        <v>3520401.7045645788</v>
      </c>
      <c r="P2" s="5">
        <f>1000000000000000*J2/360/$N$1</f>
        <v>3520388.8117209221</v>
      </c>
      <c r="Q2" s="5">
        <f>1000000000000000*L2/360/$N$1</f>
        <v>3520380.216491817</v>
      </c>
      <c r="R2" s="2"/>
      <c r="S2">
        <f>(D2+$R$1)/$R$1</f>
        <v>4.8778153525370485</v>
      </c>
      <c r="T2">
        <f>SQRT(1-1/S2/S2)</f>
        <v>0.97875991830955966</v>
      </c>
      <c r="U2" s="9">
        <f>1/$R$13/T2/S2/S2*0.0001*1000000000000000</f>
        <v>14.323607390189006</v>
      </c>
      <c r="V2" s="9">
        <f>$N$14-1/$R$13/T2/S2/S2*(-0.00000423*3*A2*A2+0.002765*2*A2-0.5853)*0.01/(D2+$R$1)*1000000000000000</f>
        <v>17.298265460400682</v>
      </c>
      <c r="W2" s="2">
        <f>1/$R$13/T2*1000000000000000</f>
        <v>3408027.7395733451</v>
      </c>
    </row>
    <row r="3" spans="1:23">
      <c r="A3">
        <v>193</v>
      </c>
      <c r="B3" s="1">
        <v>1634.9110000000001</v>
      </c>
      <c r="C3">
        <v>100.0001</v>
      </c>
      <c r="D3">
        <v>2.0091709999999998</v>
      </c>
      <c r="E3" s="2">
        <v>8.5635599999999996E-3</v>
      </c>
      <c r="F3" s="5">
        <f t="shared" ref="F3:F11" si="0">10^15*(E3/1000)/(3*10^8)</f>
        <v>28.545199999999998</v>
      </c>
      <c r="G3" s="9">
        <f t="shared" ref="G3:G11" si="1">10^15*ABS(B3-J3)/360/$N$1</f>
        <v>10.744036381020084</v>
      </c>
      <c r="H3" s="9">
        <f t="shared" ref="H3:H11" si="2">10^15*ABS(B3-L3)/360/$N$1</f>
        <v>19.339265485445289</v>
      </c>
      <c r="I3" s="1"/>
      <c r="J3">
        <v>1634.9059999999999</v>
      </c>
      <c r="L3" s="1">
        <v>1634.902</v>
      </c>
      <c r="M3" s="2"/>
      <c r="N3" s="2"/>
      <c r="O3" s="5">
        <f t="shared" ref="O3:O11" si="3">1000000000000000*B3/360/$N$1</f>
        <v>3513108.6526693013</v>
      </c>
      <c r="P3" s="5">
        <f t="shared" ref="P3:P11" si="4">1000000000000000*J3/360/$N$1</f>
        <v>3513097.9086329211</v>
      </c>
      <c r="Q3" s="5">
        <f t="shared" ref="Q3:Q11" si="5">1000000000000000*L3/360/$N$1</f>
        <v>3513089.313403816</v>
      </c>
      <c r="R3" s="2"/>
      <c r="S3">
        <f t="shared" ref="S3:S11" si="6">(D3+$R$1)/$R$1</f>
        <v>4.9318487200348278</v>
      </c>
      <c r="T3">
        <f t="shared" ref="T3:T11" si="7">SQRT(1-1/S3/S3)</f>
        <v>0.97922769225149564</v>
      </c>
      <c r="U3" s="9">
        <f t="shared" ref="U3:U11" si="8">1/$R$13/T3/S3/S3*0.0001*1000000000000000</f>
        <v>14.004774401546245</v>
      </c>
      <c r="V3" s="9">
        <f t="shared" ref="V3:V11" si="9">$N$14-1/$R$13/T3/S3/S3*(-0.00000423*3*A3*A3+0.002765*2*A3-0.5853)*0.01/(D3+$R$1)*1000000000000000</f>
        <v>16.319887292312881</v>
      </c>
      <c r="W3" s="2">
        <f t="shared" ref="W3:W11" si="10">1/$R$13/T3*1000000000000000</f>
        <v>3406399.7356039085</v>
      </c>
    </row>
    <row r="4" spans="1:23">
      <c r="A4">
        <v>196</v>
      </c>
      <c r="B4" s="1">
        <v>1631.537</v>
      </c>
      <c r="C4">
        <v>100.0001</v>
      </c>
      <c r="D4">
        <v>2.0457580000000002</v>
      </c>
      <c r="E4" s="2">
        <v>5.2634159999999999E-3</v>
      </c>
      <c r="F4" s="5">
        <f t="shared" si="0"/>
        <v>17.544720000000002</v>
      </c>
      <c r="G4" s="9">
        <f t="shared" si="1"/>
        <v>6.4464218283189014</v>
      </c>
      <c r="H4" s="9">
        <f t="shared" si="2"/>
        <v>6.4464218283189014</v>
      </c>
      <c r="I4" s="1"/>
      <c r="J4">
        <v>1631.54</v>
      </c>
      <c r="L4" s="1">
        <v>1631.5340000000001</v>
      </c>
      <c r="M4" s="2"/>
      <c r="N4" s="2"/>
      <c r="O4" s="5">
        <f t="shared" si="3"/>
        <v>3505858.5769195473</v>
      </c>
      <c r="P4" s="5">
        <f t="shared" si="4"/>
        <v>3505865.0233413763</v>
      </c>
      <c r="Q4" s="5">
        <f t="shared" si="5"/>
        <v>3505852.1304977192</v>
      </c>
      <c r="R4" s="2"/>
      <c r="S4">
        <f t="shared" si="6"/>
        <v>5.003447677574985</v>
      </c>
      <c r="T4">
        <f t="shared" si="7"/>
        <v>0.97982401779018602</v>
      </c>
      <c r="U4" s="9">
        <f t="shared" si="8"/>
        <v>13.598546511256203</v>
      </c>
      <c r="V4" s="9">
        <f t="shared" si="9"/>
        <v>15.594476052411428</v>
      </c>
      <c r="W4" s="2">
        <f t="shared" si="10"/>
        <v>3404326.5845885766</v>
      </c>
    </row>
    <row r="5" spans="1:23">
      <c r="A5">
        <v>199</v>
      </c>
      <c r="B5" s="1">
        <v>1628.251</v>
      </c>
      <c r="C5">
        <v>100</v>
      </c>
      <c r="D5">
        <v>2.0806879999999999</v>
      </c>
      <c r="E5" s="2">
        <v>2.7501539999999999E-3</v>
      </c>
      <c r="F5" s="5">
        <f t="shared" si="0"/>
        <v>9.1671800000000001</v>
      </c>
      <c r="G5" s="9">
        <f t="shared" si="1"/>
        <v>17.190458209338985</v>
      </c>
      <c r="H5" s="9">
        <f t="shared" si="2"/>
        <v>17.190458209338985</v>
      </c>
      <c r="I5" s="1"/>
      <c r="J5">
        <v>1628.2429999999999</v>
      </c>
      <c r="L5" s="1">
        <v>1628.2429999999999</v>
      </c>
      <c r="M5" s="2"/>
      <c r="N5" s="2"/>
      <c r="O5" s="5">
        <f t="shared" si="3"/>
        <v>3498797.5962100951</v>
      </c>
      <c r="P5" s="5">
        <f t="shared" si="4"/>
        <v>3498780.4057518858</v>
      </c>
      <c r="Q5" s="5">
        <f t="shared" si="5"/>
        <v>3498780.4057518858</v>
      </c>
      <c r="R5" s="2"/>
      <c r="S5">
        <f t="shared" si="6"/>
        <v>5.0718039677020155</v>
      </c>
      <c r="T5">
        <f t="shared" si="7"/>
        <v>0.98036961453313054</v>
      </c>
      <c r="U5" s="9">
        <f t="shared" si="8"/>
        <v>13.22709694246968</v>
      </c>
      <c r="V5" s="9">
        <f>$N$14-1/$R$13/T5/S5/S5*(-0.00000423*3*A5*A5+0.002765*2*A5-0.5853)*0.01/(D5+$R$1)*1000000000000000</f>
        <v>15.040457281549724</v>
      </c>
      <c r="W5" s="2">
        <f t="shared" si="10"/>
        <v>3402432.0037397449</v>
      </c>
    </row>
    <row r="6" spans="1:23">
      <c r="A6">
        <v>202</v>
      </c>
      <c r="B6" s="1">
        <v>1625.0709999999999</v>
      </c>
      <c r="C6">
        <v>100.0001</v>
      </c>
      <c r="D6">
        <v>2.1239650000000001</v>
      </c>
      <c r="E6" s="2">
        <v>4.9546939999999999E-3</v>
      </c>
      <c r="F6" s="5">
        <f t="shared" si="0"/>
        <v>16.515646666666665</v>
      </c>
      <c r="G6" s="9">
        <f t="shared" si="1"/>
        <v>10.744036380531501</v>
      </c>
      <c r="H6" s="9">
        <f t="shared" si="2"/>
        <v>23.636880037657885</v>
      </c>
      <c r="I6" s="1"/>
      <c r="J6">
        <v>1625.066</v>
      </c>
      <c r="L6" s="1">
        <v>1625.06</v>
      </c>
      <c r="M6" s="2"/>
      <c r="N6" s="2"/>
      <c r="O6" s="5">
        <f t="shared" si="3"/>
        <v>3491964.3890719158</v>
      </c>
      <c r="P6" s="5">
        <f t="shared" si="4"/>
        <v>3491953.6450355346</v>
      </c>
      <c r="Q6" s="5">
        <f t="shared" si="5"/>
        <v>3491940.7521918784</v>
      </c>
      <c r="R6" s="2"/>
      <c r="S6">
        <f t="shared" si="6"/>
        <v>5.1564949258419386</v>
      </c>
      <c r="T6">
        <f t="shared" si="7"/>
        <v>0.98101533345209369</v>
      </c>
      <c r="U6" s="9">
        <f t="shared" si="8"/>
        <v>12.787755148158517</v>
      </c>
      <c r="V6" s="9">
        <f t="shared" si="9"/>
        <v>14.714478754217488</v>
      </c>
      <c r="W6" s="2">
        <f t="shared" si="10"/>
        <v>3400192.4722661953</v>
      </c>
    </row>
    <row r="7" spans="1:23">
      <c r="A7">
        <v>205</v>
      </c>
      <c r="B7" s="1">
        <v>1622.03</v>
      </c>
      <c r="C7">
        <v>100.0001</v>
      </c>
      <c r="D7">
        <v>2.1709990000000001</v>
      </c>
      <c r="E7" s="2">
        <v>7.4250599999999998E-3</v>
      </c>
      <c r="F7" s="5">
        <f t="shared" si="0"/>
        <v>24.7502</v>
      </c>
      <c r="G7" s="9">
        <f t="shared" si="1"/>
        <v>19.339265485445289</v>
      </c>
      <c r="H7" s="9">
        <f t="shared" si="2"/>
        <v>19.339265485445289</v>
      </c>
      <c r="I7" s="1"/>
      <c r="J7">
        <v>1622.021</v>
      </c>
      <c r="L7" s="1">
        <v>1622.021</v>
      </c>
      <c r="M7" s="2"/>
      <c r="N7" s="2"/>
      <c r="O7" s="5">
        <f t="shared" si="3"/>
        <v>3485429.8661451219</v>
      </c>
      <c r="P7" s="5">
        <f t="shared" si="4"/>
        <v>3485410.5268796366</v>
      </c>
      <c r="Q7" s="5">
        <f t="shared" si="5"/>
        <v>3485410.5268796366</v>
      </c>
      <c r="R7" s="2"/>
      <c r="S7">
        <f t="shared" si="6"/>
        <v>5.2485381479958111</v>
      </c>
      <c r="T7">
        <f t="shared" si="7"/>
        <v>0.9816815204413043</v>
      </c>
      <c r="U7" s="9">
        <f t="shared" si="8"/>
        <v>12.334795823514678</v>
      </c>
      <c r="V7" s="9">
        <f t="shared" si="9"/>
        <v>14.565152100233618</v>
      </c>
      <c r="W7" s="2">
        <f t="shared" si="10"/>
        <v>3397885.0396226458</v>
      </c>
    </row>
    <row r="8" spans="1:23">
      <c r="A8">
        <v>208</v>
      </c>
      <c r="B8" s="1">
        <v>1619.1590000000001</v>
      </c>
      <c r="C8">
        <v>100.0001</v>
      </c>
      <c r="D8">
        <v>2.2213799999999999</v>
      </c>
      <c r="E8" s="2">
        <v>9.4093800000000002E-3</v>
      </c>
      <c r="F8" s="5">
        <f t="shared" si="0"/>
        <v>31.364599999999999</v>
      </c>
      <c r="G8" s="9">
        <f t="shared" si="1"/>
        <v>12.892843657126383</v>
      </c>
      <c r="H8" s="9">
        <f t="shared" si="2"/>
        <v>19.339265485445289</v>
      </c>
      <c r="I8" s="1"/>
      <c r="J8">
        <v>1619.153</v>
      </c>
      <c r="L8" s="1">
        <v>1619.15</v>
      </c>
      <c r="M8" s="2"/>
      <c r="N8" s="2"/>
      <c r="O8" s="5">
        <f t="shared" si="3"/>
        <v>3479260.6404552748</v>
      </c>
      <c r="P8" s="5">
        <f t="shared" si="4"/>
        <v>3479247.7476116177</v>
      </c>
      <c r="Q8" s="5">
        <f t="shared" si="5"/>
        <v>3479241.3011897895</v>
      </c>
      <c r="R8" s="2"/>
      <c r="S8">
        <f t="shared" si="6"/>
        <v>5.3471312843510912</v>
      </c>
      <c r="T8">
        <f t="shared" si="7"/>
        <v>0.98235683592466772</v>
      </c>
      <c r="U8" s="9">
        <f t="shared" si="8"/>
        <v>11.87594919798981</v>
      </c>
      <c r="V8" s="9">
        <f t="shared" si="9"/>
        <v>14.568710296535761</v>
      </c>
      <c r="W8" s="2">
        <f t="shared" si="10"/>
        <v>3395549.1833492112</v>
      </c>
    </row>
    <row r="9" spans="1:23">
      <c r="A9">
        <v>211</v>
      </c>
      <c r="B9" s="1">
        <v>1616.4670000000001</v>
      </c>
      <c r="C9">
        <v>100.00020000000001</v>
      </c>
      <c r="D9">
        <v>2.2742149999999999</v>
      </c>
      <c r="E9" s="2">
        <v>1.188586E-2</v>
      </c>
      <c r="F9" s="5">
        <f t="shared" si="0"/>
        <v>39.619533333333337</v>
      </c>
      <c r="G9" s="9">
        <f t="shared" si="1"/>
        <v>10.744036381020084</v>
      </c>
      <c r="H9" s="9">
        <f t="shared" si="2"/>
        <v>17.190458209338985</v>
      </c>
      <c r="I9" s="1"/>
      <c r="J9">
        <v>1616.462</v>
      </c>
      <c r="L9" s="1">
        <v>1616.4590000000001</v>
      </c>
      <c r="M9" s="2"/>
      <c r="N9" s="2"/>
      <c r="O9" s="5">
        <f t="shared" si="3"/>
        <v>3473476.05126786</v>
      </c>
      <c r="P9" s="5">
        <f t="shared" si="4"/>
        <v>3473465.3072314789</v>
      </c>
      <c r="Q9" s="5">
        <f t="shared" si="5"/>
        <v>3473458.8608096507</v>
      </c>
      <c r="R9" s="2"/>
      <c r="S9">
        <f t="shared" si="6"/>
        <v>5.4505267778770481</v>
      </c>
      <c r="T9">
        <f t="shared" si="7"/>
        <v>0.98302558849332256</v>
      </c>
      <c r="U9" s="9">
        <f t="shared" si="8"/>
        <v>11.421878051485741</v>
      </c>
      <c r="V9" s="9">
        <f t="shared" si="9"/>
        <v>14.697597133485768</v>
      </c>
      <c r="W9" s="2">
        <f t="shared" si="10"/>
        <v>3393239.1903389185</v>
      </c>
    </row>
    <row r="10" spans="1:23">
      <c r="A10">
        <v>214</v>
      </c>
      <c r="B10" s="1">
        <v>1613.9649999999999</v>
      </c>
      <c r="C10">
        <v>100</v>
      </c>
      <c r="D10">
        <v>2.328681</v>
      </c>
      <c r="E10" s="2">
        <v>1.403512E-2</v>
      </c>
      <c r="F10" s="5">
        <f t="shared" si="0"/>
        <v>46.783733333333331</v>
      </c>
      <c r="G10" s="9">
        <f t="shared" si="1"/>
        <v>12.892843656637803</v>
      </c>
      <c r="H10" s="9">
        <f t="shared" si="2"/>
        <v>15.041650932744101</v>
      </c>
      <c r="I10" s="1"/>
      <c r="J10">
        <v>1613.9590000000001</v>
      </c>
      <c r="L10" s="1">
        <v>1613.9580000000001</v>
      </c>
      <c r="M10" s="2"/>
      <c r="N10" s="2"/>
      <c r="O10" s="5">
        <f t="shared" si="3"/>
        <v>3468099.7354629147</v>
      </c>
      <c r="P10" s="5">
        <f t="shared" si="4"/>
        <v>3468086.842619258</v>
      </c>
      <c r="Q10" s="5">
        <f t="shared" si="5"/>
        <v>3468084.6938119815</v>
      </c>
      <c r="R10" s="2"/>
      <c r="S10">
        <f t="shared" si="6"/>
        <v>5.5571140580963112</v>
      </c>
      <c r="T10">
        <f t="shared" si="7"/>
        <v>0.98367584636765093</v>
      </c>
      <c r="U10" s="9">
        <f t="shared" si="8"/>
        <v>10.980665655415603</v>
      </c>
      <c r="V10" s="9">
        <f t="shared" si="9"/>
        <v>14.9264786308932</v>
      </c>
      <c r="W10" s="2">
        <f t="shared" si="10"/>
        <v>3390996.0931731751</v>
      </c>
    </row>
    <row r="11" spans="1:23">
      <c r="A11">
        <v>217</v>
      </c>
      <c r="B11">
        <v>1611.6610000000001</v>
      </c>
      <c r="C11" s="1">
        <v>100</v>
      </c>
      <c r="D11">
        <v>2.3840370000000002</v>
      </c>
      <c r="E11" s="2">
        <v>1.6425840000000001E-2</v>
      </c>
      <c r="F11" s="5">
        <f t="shared" si="0"/>
        <v>54.752800000000001</v>
      </c>
      <c r="G11" s="9">
        <f t="shared" si="1"/>
        <v>12.892843657126383</v>
      </c>
      <c r="H11" s="9">
        <f t="shared" si="2"/>
        <v>17.190458209338985</v>
      </c>
      <c r="I11" s="1"/>
      <c r="J11">
        <v>1611.655</v>
      </c>
      <c r="L11" s="1">
        <v>1611.653</v>
      </c>
      <c r="M11" s="2"/>
      <c r="N11" s="2"/>
      <c r="O11" s="5">
        <f t="shared" si="3"/>
        <v>3463148.8834986486</v>
      </c>
      <c r="P11" s="5">
        <f t="shared" si="4"/>
        <v>3463135.9906549919</v>
      </c>
      <c r="Q11" s="5">
        <f t="shared" si="5"/>
        <v>3463131.6930404399</v>
      </c>
      <c r="R11" s="2"/>
      <c r="S11">
        <f t="shared" si="6"/>
        <v>5.665443024494019</v>
      </c>
      <c r="T11">
        <f t="shared" si="7"/>
        <v>0.98429907943474659</v>
      </c>
      <c r="U11" s="9">
        <f t="shared" si="8"/>
        <v>10.558068259287122</v>
      </c>
      <c r="V11" s="9">
        <f t="shared" si="9"/>
        <v>15.233328566535208</v>
      </c>
      <c r="W11" s="2">
        <f t="shared" si="10"/>
        <v>3388849.0009531239</v>
      </c>
    </row>
    <row r="12" spans="1:23">
      <c r="A12" s="13" t="s">
        <v>17</v>
      </c>
      <c r="B12" s="13"/>
      <c r="C12" s="13"/>
      <c r="D12" s="13"/>
      <c r="E12" s="13"/>
      <c r="F12" s="3"/>
      <c r="G12" t="s">
        <v>12</v>
      </c>
      <c r="H12" s="1" t="s">
        <v>11</v>
      </c>
      <c r="I12" s="1"/>
      <c r="J12" t="s">
        <v>12</v>
      </c>
      <c r="L12" s="1" t="s">
        <v>11</v>
      </c>
      <c r="P12" t="s">
        <v>12</v>
      </c>
      <c r="Q12" s="1" t="s">
        <v>11</v>
      </c>
      <c r="U12" t="s">
        <v>12</v>
      </c>
      <c r="V12" s="1" t="s">
        <v>11</v>
      </c>
    </row>
    <row r="13" spans="1:23">
      <c r="R13" s="2">
        <v>299792458</v>
      </c>
    </row>
    <row r="14" spans="1:23">
      <c r="F14" t="s">
        <v>18</v>
      </c>
      <c r="G14" s="9">
        <f>AVERAGE(G2:G11)</f>
        <v>12.677962929369176</v>
      </c>
      <c r="H14" s="9">
        <f>AVERAGE(H2:H11)</f>
        <v>17.620219664462525</v>
      </c>
      <c r="L14" s="1">
        <v>0.01</v>
      </c>
      <c r="M14" t="s">
        <v>9</v>
      </c>
      <c r="N14" s="5">
        <f>L14/360/N1*1000000000000000</f>
        <v>21.488072761571132</v>
      </c>
      <c r="O14" t="s">
        <v>21</v>
      </c>
    </row>
    <row r="15" spans="1:23">
      <c r="F15" t="s">
        <v>19</v>
      </c>
      <c r="G15" s="9">
        <f>STDEV(G2:G11)</f>
        <v>3.5741755923253642</v>
      </c>
      <c r="H15" s="9">
        <f>STDEV(H2:H11)</f>
        <v>4.6197968298651837</v>
      </c>
    </row>
    <row r="101" spans="1:10">
      <c r="E101" s="8" t="s">
        <v>24</v>
      </c>
      <c r="F101">
        <v>2.86</v>
      </c>
      <c r="G101" t="s">
        <v>27</v>
      </c>
    </row>
    <row r="102" spans="1:10">
      <c r="E102" s="8" t="s">
        <v>25</v>
      </c>
      <c r="F102">
        <v>0</v>
      </c>
      <c r="G102" t="s">
        <v>27</v>
      </c>
    </row>
    <row r="103" spans="1:10">
      <c r="A103" s="13" t="s">
        <v>23</v>
      </c>
      <c r="B103" s="13"/>
      <c r="C103" s="13"/>
      <c r="D103" s="13"/>
      <c r="E103" s="8" t="s">
        <v>26</v>
      </c>
      <c r="F103">
        <v>255.5</v>
      </c>
      <c r="G103" t="s">
        <v>28</v>
      </c>
    </row>
    <row r="104" spans="1:10">
      <c r="A104" s="4"/>
      <c r="B104" s="4"/>
      <c r="C104" s="4"/>
      <c r="D104" s="4"/>
      <c r="E104" s="8"/>
      <c r="G104" s="4" t="s">
        <v>29</v>
      </c>
      <c r="H104" s="4" t="s">
        <v>30</v>
      </c>
      <c r="I104" s="12" t="s">
        <v>32</v>
      </c>
      <c r="J104" s="12" t="s">
        <v>32</v>
      </c>
    </row>
    <row r="105" spans="1:10">
      <c r="A105">
        <v>185</v>
      </c>
      <c r="D105" s="11">
        <v>1.9503729999999999</v>
      </c>
      <c r="F105" s="9">
        <f>F$102+F$101*COS((A105-F$103)/180*PI())</f>
        <v>0.95468761740858477</v>
      </c>
      <c r="G105" s="10">
        <f>(D105+$R$1)/$R$1</f>
        <v>4.8167839291132948</v>
      </c>
      <c r="H105" s="10">
        <f>SQRT(1-1/G105/G105)</f>
        <v>0.97821222974409106</v>
      </c>
      <c r="I105" s="9">
        <f>1/$R$13/H105/G105/G105*0.0001*1000000000000000</f>
        <v>14.697107762451104</v>
      </c>
      <c r="J105" s="9">
        <f>$N$14-1/$R$13/H105/G105/G105*(-0.00000423*3*A105*A105+0.002765*2*A105-0.5853)*0.01/(D105+$R$1)*1000000000000000</f>
        <v>19.437147925482844</v>
      </c>
    </row>
    <row r="106" spans="1:10">
      <c r="A106">
        <v>190</v>
      </c>
      <c r="D106" s="11">
        <v>1.981562</v>
      </c>
      <c r="F106" s="9">
        <f t="shared" ref="F106:F126" si="11">F$102+F$101*COS((A106-F$103)/180*PI())</f>
        <v>1.1860226739968438</v>
      </c>
      <c r="G106" s="10">
        <f t="shared" ref="G106:G126" si="12">(D106+$R$1)/$R$1</f>
        <v>4.8778192664385722</v>
      </c>
      <c r="H106" s="10">
        <f t="shared" ref="H106:H126" si="13">SQRT(1-1/G106/G106)</f>
        <v>0.97875995276494565</v>
      </c>
      <c r="I106" s="9">
        <f t="shared" ref="I106:I126" si="14">1/$R$13/H106/G106/G106*0.0001*1000000000000000</f>
        <v>14.32358389979472</v>
      </c>
      <c r="J106" s="9">
        <f t="shared" ref="J106:J126" si="15">$N$14-1/$R$13/H106/G106/G106*(-0.00000423*3*A106*A106+0.002765*2*A106-0.5853)*0.01/(D106+$R$1)*1000000000000000</f>
        <v>17.298275693434281</v>
      </c>
    </row>
    <row r="107" spans="1:10">
      <c r="A107">
        <v>195</v>
      </c>
      <c r="D107" s="11">
        <v>2.0303789999999999</v>
      </c>
      <c r="F107" s="9">
        <f t="shared" si="11"/>
        <v>1.4083313818959158</v>
      </c>
      <c r="G107" s="10">
        <f t="shared" si="12"/>
        <v>4.9733517318016203</v>
      </c>
      <c r="H107" s="10">
        <f t="shared" si="13"/>
        <v>0.9795765384588786</v>
      </c>
      <c r="I107" s="9">
        <f t="shared" si="14"/>
        <v>13.767103329624462</v>
      </c>
      <c r="J107" s="9">
        <f t="shared" si="15"/>
        <v>15.793126472135135</v>
      </c>
    </row>
    <row r="108" spans="1:10">
      <c r="A108">
        <v>200</v>
      </c>
      <c r="D108" s="11">
        <v>2.0945130000000001</v>
      </c>
      <c r="F108" s="9">
        <f t="shared" si="11"/>
        <v>1.6199218376050217</v>
      </c>
      <c r="G108" s="10">
        <f t="shared" si="12"/>
        <v>5.0988588119907705</v>
      </c>
      <c r="H108" s="10">
        <f t="shared" si="13"/>
        <v>0.98057943946553028</v>
      </c>
      <c r="I108" s="9">
        <f t="shared" si="14"/>
        <v>13.08430144998947</v>
      </c>
      <c r="J108" s="9">
        <f t="shared" si="15"/>
        <v>14.909544432100898</v>
      </c>
    </row>
    <row r="109" spans="1:10">
      <c r="A109">
        <v>205</v>
      </c>
      <c r="D109" s="11">
        <v>2.1709990000000001</v>
      </c>
      <c r="F109" s="9">
        <f t="shared" si="11"/>
        <v>1.8191837099944048</v>
      </c>
      <c r="G109" s="10">
        <f t="shared" si="12"/>
        <v>5.2485381479958111</v>
      </c>
      <c r="H109" s="10">
        <f t="shared" si="13"/>
        <v>0.9816815204413043</v>
      </c>
      <c r="I109" s="9">
        <f t="shared" si="14"/>
        <v>12.334795823514678</v>
      </c>
      <c r="J109" s="9">
        <f t="shared" si="15"/>
        <v>14.565152100233618</v>
      </c>
    </row>
    <row r="110" spans="1:10">
      <c r="A110">
        <v>210</v>
      </c>
      <c r="D110" s="11">
        <v>2.2563430000000002</v>
      </c>
      <c r="F110" s="9">
        <f t="shared" si="11"/>
        <v>2.0046004958975736</v>
      </c>
      <c r="G110" s="10">
        <f t="shared" si="12"/>
        <v>5.4155521538532785</v>
      </c>
      <c r="H110" s="10">
        <f t="shared" si="13"/>
        <v>0.98280370874411593</v>
      </c>
      <c r="I110" s="9">
        <f t="shared" si="14"/>
        <v>11.572495622204388</v>
      </c>
      <c r="J110" s="9">
        <f t="shared" si="15"/>
        <v>14.642033431286569</v>
      </c>
    </row>
    <row r="111" spans="1:10">
      <c r="A111">
        <v>215</v>
      </c>
      <c r="D111" s="11">
        <v>2.3470559999999998</v>
      </c>
      <c r="F111" s="9">
        <f t="shared" si="11"/>
        <v>2.1747610616160884</v>
      </c>
      <c r="G111" s="10">
        <f t="shared" si="12"/>
        <v>5.5930730283535164</v>
      </c>
      <c r="H111" s="10">
        <f t="shared" si="13"/>
        <v>0.98388678748082792</v>
      </c>
      <c r="I111" s="9">
        <f t="shared" si="14"/>
        <v>10.837601770009359</v>
      </c>
      <c r="J111" s="9">
        <f t="shared" si="15"/>
        <v>15.020996903800008</v>
      </c>
    </row>
    <row r="112" spans="1:10">
      <c r="A112">
        <v>220</v>
      </c>
      <c r="D112" s="11">
        <v>2.4394559999999998</v>
      </c>
      <c r="F112" s="9">
        <f t="shared" si="11"/>
        <v>2.3283703824990729</v>
      </c>
      <c r="G112" s="10">
        <f t="shared" si="12"/>
        <v>5.77389527878975</v>
      </c>
      <c r="H112" s="10">
        <f t="shared" si="13"/>
        <v>0.98488785121280542</v>
      </c>
      <c r="I112" s="9">
        <f t="shared" si="14"/>
        <v>10.159087737802706</v>
      </c>
      <c r="J112" s="9">
        <f t="shared" si="15"/>
        <v>15.598776597630323</v>
      </c>
    </row>
    <row r="113" spans="1:10">
      <c r="A113">
        <v>225</v>
      </c>
      <c r="D113" s="11">
        <v>2.5300039999999999</v>
      </c>
      <c r="F113" s="9">
        <f t="shared" si="11"/>
        <v>2.4642593988627639</v>
      </c>
      <c r="G113" s="10">
        <f t="shared" si="12"/>
        <v>5.9510932564142101</v>
      </c>
      <c r="H113" s="10">
        <f t="shared" si="13"/>
        <v>0.98578079940492269</v>
      </c>
      <c r="I113" s="9">
        <f t="shared" si="14"/>
        <v>9.5544442425395673</v>
      </c>
      <c r="J113" s="9">
        <f t="shared" si="15"/>
        <v>16.298091932303215</v>
      </c>
    </row>
    <row r="114" spans="1:10">
      <c r="A114">
        <v>230</v>
      </c>
      <c r="D114" s="11">
        <v>2.6153369999999998</v>
      </c>
      <c r="F114" s="9">
        <f t="shared" si="11"/>
        <v>2.5813939132406012</v>
      </c>
      <c r="G114" s="10">
        <f t="shared" si="12"/>
        <v>6.118085735813291</v>
      </c>
      <c r="H114" s="10">
        <f t="shared" si="13"/>
        <v>0.98655164943210838</v>
      </c>
      <c r="I114" s="9">
        <f t="shared" si="14"/>
        <v>9.0329239262941847</v>
      </c>
      <c r="J114" s="9">
        <f t="shared" si="15"/>
        <v>17.067732129720625</v>
      </c>
    </row>
    <row r="115" spans="1:10">
      <c r="A115">
        <v>235</v>
      </c>
      <c r="D115" s="11">
        <v>2.6922999999999999</v>
      </c>
      <c r="F115" s="9">
        <f t="shared" si="11"/>
        <v>2.6788824612504167</v>
      </c>
      <c r="G115" s="10">
        <f t="shared" si="12"/>
        <v>6.2686985373319475</v>
      </c>
      <c r="H115" s="10">
        <f t="shared" si="13"/>
        <v>0.98719425329503163</v>
      </c>
      <c r="I115" s="9">
        <f t="shared" si="14"/>
        <v>8.5984844145474959</v>
      </c>
      <c r="J115" s="9">
        <f t="shared" si="15"/>
        <v>17.879153607688366</v>
      </c>
    </row>
    <row r="116" spans="1:10">
      <c r="A116">
        <v>240</v>
      </c>
      <c r="D116" s="11">
        <v>2.7579349999999998</v>
      </c>
      <c r="F116" s="9">
        <f t="shared" si="11"/>
        <v>2.7559830961766614</v>
      </c>
      <c r="G116" s="10">
        <f t="shared" si="12"/>
        <v>6.3971430006153049</v>
      </c>
      <c r="H116" s="10">
        <f t="shared" si="13"/>
        <v>0.9877064977614739</v>
      </c>
      <c r="I116" s="9">
        <f t="shared" si="14"/>
        <v>8.2523809582890202</v>
      </c>
      <c r="J116" s="9">
        <f t="shared" si="15"/>
        <v>18.722244998773945</v>
      </c>
    </row>
    <row r="117" spans="1:10">
      <c r="A117">
        <v>245</v>
      </c>
      <c r="D117" s="11">
        <v>2.80945</v>
      </c>
      <c r="F117" s="9">
        <f t="shared" si="11"/>
        <v>2.8121090356329099</v>
      </c>
      <c r="G117" s="10">
        <f t="shared" si="12"/>
        <v>6.4979553191350297</v>
      </c>
      <c r="H117" s="10">
        <f t="shared" si="13"/>
        <v>0.98808727509558425</v>
      </c>
      <c r="I117" s="9">
        <f t="shared" si="14"/>
        <v>7.9952224069272075</v>
      </c>
      <c r="J117" s="9">
        <f t="shared" si="15"/>
        <v>19.602045384663878</v>
      </c>
    </row>
    <row r="118" spans="1:10">
      <c r="A118">
        <v>250</v>
      </c>
      <c r="D118" s="11">
        <v>2.8441730000000001</v>
      </c>
      <c r="F118" s="9">
        <f t="shared" si="11"/>
        <v>2.8468331273301315</v>
      </c>
      <c r="G118" s="10">
        <f t="shared" si="12"/>
        <v>6.5659065204542655</v>
      </c>
      <c r="H118" s="10">
        <f t="shared" si="13"/>
        <v>0.98833401895948969</v>
      </c>
      <c r="I118" s="9">
        <f t="shared" si="14"/>
        <v>7.8286371094031599</v>
      </c>
      <c r="J118" s="9">
        <f t="shared" si="15"/>
        <v>20.537251293988387</v>
      </c>
    </row>
    <row r="119" spans="1:10">
      <c r="A119">
        <v>255</v>
      </c>
      <c r="D119" s="11">
        <v>2.8594870000000001</v>
      </c>
      <c r="F119" s="9">
        <f t="shared" si="11"/>
        <v>2.8598910999635296</v>
      </c>
      <c r="G119" s="10">
        <f t="shared" si="12"/>
        <v>6.5958752644280807</v>
      </c>
      <c r="H119" s="10">
        <f t="shared" si="13"/>
        <v>0.98844040676608902</v>
      </c>
      <c r="I119" s="9">
        <f t="shared" si="14"/>
        <v>7.7568240122789822</v>
      </c>
      <c r="J119" s="9">
        <f t="shared" si="15"/>
        <v>21.561084557914118</v>
      </c>
    </row>
    <row r="120" spans="1:10">
      <c r="A120">
        <v>260</v>
      </c>
      <c r="D120" s="11">
        <v>2.8527369999999999</v>
      </c>
      <c r="F120" s="9">
        <f t="shared" si="11"/>
        <v>2.851183574476746</v>
      </c>
      <c r="G120" s="10">
        <f t="shared" si="12"/>
        <v>6.582665846782576</v>
      </c>
      <c r="H120" s="10">
        <f t="shared" si="13"/>
        <v>0.9883936943537821</v>
      </c>
      <c r="I120" s="9">
        <f t="shared" si="14"/>
        <v>7.7883545105429635</v>
      </c>
      <c r="J120" s="9">
        <f t="shared" si="15"/>
        <v>22.725416172645502</v>
      </c>
    </row>
    <row r="121" spans="1:10">
      <c r="A121">
        <v>265</v>
      </c>
      <c r="D121" s="11">
        <v>2.8210929999999999</v>
      </c>
      <c r="F121" s="9">
        <f t="shared" si="11"/>
        <v>2.8207768203964818</v>
      </c>
      <c r="G121" s="10">
        <f t="shared" si="12"/>
        <v>6.520740096860453</v>
      </c>
      <c r="H121" s="10">
        <f t="shared" si="13"/>
        <v>0.988170878000037</v>
      </c>
      <c r="I121" s="9">
        <f t="shared" si="14"/>
        <v>7.9387744865719991</v>
      </c>
      <c r="J121" s="9">
        <f t="shared" si="15"/>
        <v>24.110095093041355</v>
      </c>
    </row>
    <row r="122" spans="1:10">
      <c r="A122">
        <v>270</v>
      </c>
      <c r="D122" s="11">
        <v>2.7613340000000002</v>
      </c>
      <c r="F122" s="9">
        <f t="shared" si="11"/>
        <v>2.7689022514813879</v>
      </c>
      <c r="G122" s="10">
        <f t="shared" si="12"/>
        <v>6.4037946762563527</v>
      </c>
      <c r="H122" s="10">
        <f t="shared" si="13"/>
        <v>0.98773218174472011</v>
      </c>
      <c r="I122" s="9">
        <f t="shared" si="14"/>
        <v>8.2350320852752663</v>
      </c>
      <c r="J122" s="9">
        <f t="shared" si="15"/>
        <v>25.841978293037648</v>
      </c>
    </row>
    <row r="123" spans="1:10">
      <c r="A123">
        <v>275</v>
      </c>
      <c r="D123" s="11">
        <v>2.6694900000000001</v>
      </c>
      <c r="F123" s="9">
        <f t="shared" si="11"/>
        <v>2.6959546645236303</v>
      </c>
      <c r="G123" s="10">
        <f t="shared" si="12"/>
        <v>6.2240604904439563</v>
      </c>
      <c r="H123" s="10">
        <f t="shared" si="13"/>
        <v>0.98700869970127936</v>
      </c>
      <c r="I123" s="9">
        <f t="shared" si="14"/>
        <v>8.7239005634498579</v>
      </c>
      <c r="J123" s="9">
        <f t="shared" si="15"/>
        <v>28.134566792526694</v>
      </c>
    </row>
    <row r="124" spans="1:10">
      <c r="A124">
        <v>280</v>
      </c>
      <c r="D124" s="11">
        <v>2.5402079999999998</v>
      </c>
      <c r="F124" s="9">
        <f t="shared" si="11"/>
        <v>2.6024892347069133</v>
      </c>
      <c r="G124" s="10">
        <f t="shared" si="12"/>
        <v>5.9710619819926878</v>
      </c>
      <c r="H124" s="10">
        <f t="shared" si="13"/>
        <v>0.98587642563530631</v>
      </c>
      <c r="I124" s="9">
        <f t="shared" si="14"/>
        <v>9.489725638011981</v>
      </c>
      <c r="J124" s="9">
        <f t="shared" si="15"/>
        <v>31.377120291050513</v>
      </c>
    </row>
    <row r="125" spans="1:10">
      <c r="A125">
        <v>285</v>
      </c>
      <c r="D125" s="11">
        <v>2.3654989999999998</v>
      </c>
      <c r="F125" s="9">
        <f t="shared" si="11"/>
        <v>2.4892172903881131</v>
      </c>
      <c r="G125" s="10">
        <f t="shared" si="12"/>
        <v>5.6291650712625581</v>
      </c>
      <c r="H125" s="10">
        <f t="shared" si="13"/>
        <v>0.98409441315233248</v>
      </c>
      <c r="I125" s="9">
        <f t="shared" si="14"/>
        <v>10.696816910335254</v>
      </c>
      <c r="J125" s="9">
        <f t="shared" si="15"/>
        <v>36.36108354097307</v>
      </c>
    </row>
    <row r="126" spans="1:10">
      <c r="A126">
        <v>290</v>
      </c>
      <c r="D126" s="11">
        <v>2.1320299999999999</v>
      </c>
      <c r="F126" s="9">
        <f t="shared" si="11"/>
        <v>2.3570008994589644</v>
      </c>
      <c r="G126" s="10">
        <f t="shared" si="12"/>
        <v>5.1722777337398629</v>
      </c>
      <c r="H126" s="10">
        <f t="shared" si="13"/>
        <v>0.98113212959005802</v>
      </c>
      <c r="I126" s="9">
        <f t="shared" si="14"/>
        <v>12.708319507112108</v>
      </c>
      <c r="J126" s="9">
        <f t="shared" si="15"/>
        <v>44.96623055423558</v>
      </c>
    </row>
    <row r="127" spans="1:10">
      <c r="J127" s="1" t="s">
        <v>11</v>
      </c>
    </row>
    <row r="128" spans="1:10">
      <c r="I128" t="s">
        <v>12</v>
      </c>
    </row>
  </sheetData>
  <mergeCells count="2">
    <mergeCell ref="A12:E12"/>
    <mergeCell ref="A103:D103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E4" sqref="E4"/>
    </sheetView>
  </sheetViews>
  <sheetFormatPr defaultColWidth="8.85546875"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100</v>
      </c>
      <c r="G1" t="s">
        <v>5</v>
      </c>
      <c r="H1" t="s">
        <v>6</v>
      </c>
      <c r="J1" t="s">
        <v>7</v>
      </c>
    </row>
    <row r="2" spans="1:12">
      <c r="A2">
        <v>242.97900000000001</v>
      </c>
      <c r="B2">
        <v>100.0076</v>
      </c>
      <c r="C2">
        <v>1611.78</v>
      </c>
      <c r="D2">
        <v>9.9948899999999998</v>
      </c>
      <c r="E2">
        <v>1611.58</v>
      </c>
      <c r="F2">
        <f>($F$1-D2)*(C2-E2)/(B2-D2)+E2</f>
        <v>1611.7799831134957</v>
      </c>
      <c r="G2">
        <f>F2-$F$5</f>
        <v>12.301704553245372</v>
      </c>
      <c r="H2">
        <f>G2*(10^15)/($J$2*360)</f>
        <v>26433.992253148743</v>
      </c>
      <c r="J2">
        <v>1292706800</v>
      </c>
      <c r="K2">
        <f>(C2+E2)/2</f>
        <v>1611.6799999999998</v>
      </c>
      <c r="L2">
        <f t="shared" ref="L2:L7" si="0">K2-$K$5</f>
        <v>12.199999999999818</v>
      </c>
    </row>
    <row r="3" spans="1:12">
      <c r="A3">
        <v>242.98599999999999</v>
      </c>
      <c r="B3">
        <v>100.0063</v>
      </c>
      <c r="C3">
        <v>1599.58</v>
      </c>
      <c r="D3">
        <v>99.993530000000007</v>
      </c>
      <c r="E3">
        <v>1599.38</v>
      </c>
      <c r="F3">
        <f t="shared" ref="F3:F7" si="1">($F$1-D3)*(C3-E3)/(B3-D3)+E3</f>
        <v>1599.4813312451058</v>
      </c>
      <c r="G3">
        <f t="shared" ref="G3:G9" si="2">F3-$F$5</f>
        <v>3.0526848554472963E-3</v>
      </c>
      <c r="H3">
        <f t="shared" ref="H3:H9" si="3">G3*(10^15)/($J$2*360)</f>
        <v>6.5596314291997748</v>
      </c>
      <c r="K3">
        <f t="shared" ref="K3:K7" si="4">(C3+E3)/2</f>
        <v>1599.48</v>
      </c>
      <c r="L3">
        <f t="shared" si="0"/>
        <v>0</v>
      </c>
    </row>
    <row r="4" spans="1:12">
      <c r="A4">
        <v>242.99299999999999</v>
      </c>
      <c r="B4">
        <v>100.0064</v>
      </c>
      <c r="C4">
        <v>1599.58</v>
      </c>
      <c r="D4">
        <v>99.993629999999996</v>
      </c>
      <c r="E4">
        <v>1599.38</v>
      </c>
      <c r="F4">
        <f t="shared" si="1"/>
        <v>1599.4797650743931</v>
      </c>
      <c r="G4">
        <f t="shared" si="2"/>
        <v>1.4865141426980699E-3</v>
      </c>
      <c r="H4">
        <f t="shared" si="3"/>
        <v>3.1942324059400655</v>
      </c>
      <c r="K4">
        <f t="shared" si="4"/>
        <v>1599.48</v>
      </c>
      <c r="L4">
        <f t="shared" si="0"/>
        <v>0</v>
      </c>
    </row>
    <row r="5" spans="1:12">
      <c r="A5">
        <v>243</v>
      </c>
      <c r="B5">
        <v>100.0065</v>
      </c>
      <c r="C5">
        <v>1599.58</v>
      </c>
      <c r="D5">
        <v>99.993719999999996</v>
      </c>
      <c r="E5">
        <v>1599.38</v>
      </c>
      <c r="F5">
        <f t="shared" si="1"/>
        <v>1599.4782785602504</v>
      </c>
      <c r="G5">
        <f t="shared" si="2"/>
        <v>0</v>
      </c>
      <c r="H5">
        <f t="shared" si="3"/>
        <v>0</v>
      </c>
      <c r="K5">
        <f t="shared" si="4"/>
        <v>1599.48</v>
      </c>
      <c r="L5">
        <f t="shared" si="0"/>
        <v>0</v>
      </c>
    </row>
    <row r="6" spans="1:12">
      <c r="A6">
        <v>243.00700000000001</v>
      </c>
      <c r="B6">
        <v>100.00660000000001</v>
      </c>
      <c r="C6">
        <v>1599.58</v>
      </c>
      <c r="D6">
        <v>99.993819999999999</v>
      </c>
      <c r="E6">
        <v>1599.38</v>
      </c>
      <c r="F6">
        <f>($F$1-D6)*(C6-E6)/(B6-D6)+E6</f>
        <v>1599.4767136150235</v>
      </c>
      <c r="G6">
        <f t="shared" si="2"/>
        <v>-1.5649452268462483E-3</v>
      </c>
      <c r="H6">
        <f t="shared" si="3"/>
        <v>-3.362765690234562</v>
      </c>
      <c r="K6">
        <f t="shared" si="4"/>
        <v>1599.48</v>
      </c>
      <c r="L6">
        <f t="shared" si="0"/>
        <v>0</v>
      </c>
    </row>
    <row r="7" spans="1:12">
      <c r="A7">
        <v>243.01400000000001</v>
      </c>
      <c r="B7">
        <v>100.0067</v>
      </c>
      <c r="C7">
        <v>1599.58</v>
      </c>
      <c r="D7">
        <v>99.993920000000003</v>
      </c>
      <c r="E7">
        <v>1599.38</v>
      </c>
      <c r="F7">
        <f t="shared" si="1"/>
        <v>1599.4751486697967</v>
      </c>
      <c r="G7">
        <f t="shared" si="2"/>
        <v>-3.1298904536924965E-3</v>
      </c>
      <c r="H7">
        <f t="shared" si="3"/>
        <v>-6.7255313804691239</v>
      </c>
      <c r="K7">
        <f t="shared" si="4"/>
        <v>1599.48</v>
      </c>
      <c r="L7">
        <f t="shared" si="0"/>
        <v>0</v>
      </c>
    </row>
    <row r="8" spans="1:12">
      <c r="A8">
        <v>243.02099999999999</v>
      </c>
      <c r="B8">
        <v>100.0067</v>
      </c>
      <c r="C8">
        <v>1599.58</v>
      </c>
      <c r="D8">
        <v>99.994020000000006</v>
      </c>
      <c r="E8">
        <v>1599.38</v>
      </c>
      <c r="F8">
        <f>($F$1-D8)*(C8-E8)/(B8-D8)+E8</f>
        <v>1599.4743217665616</v>
      </c>
      <c r="G8">
        <f>F8-$F$5</f>
        <v>-3.9567936887578981E-3</v>
      </c>
      <c r="H8">
        <f>G8*(10^15)/($J$2*360)</f>
        <v>-8.5023870686555139</v>
      </c>
    </row>
    <row r="9" spans="1:12">
      <c r="A9">
        <v>243.02799999999999</v>
      </c>
      <c r="B9">
        <v>100.0068</v>
      </c>
      <c r="C9">
        <v>1599.58</v>
      </c>
      <c r="D9">
        <v>99.994119999999995</v>
      </c>
      <c r="E9">
        <v>1599.38</v>
      </c>
      <c r="F9">
        <f t="shared" ref="F9" si="5">($F$1-D9)*(C9-E9)/(B9-D9)+E9</f>
        <v>1599.4727444794953</v>
      </c>
      <c r="G9">
        <f t="shared" si="2"/>
        <v>-5.5340807550692261E-3</v>
      </c>
      <c r="H9">
        <f t="shared" si="3"/>
        <v>-11.891672993333804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 magnitude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C-AD</dc:creator>
  <cp:lastModifiedBy>C-AD</cp:lastModifiedBy>
  <dcterms:created xsi:type="dcterms:W3CDTF">2015-01-28T14:32:54Z</dcterms:created>
  <dcterms:modified xsi:type="dcterms:W3CDTF">2015-02-04T19:29:49Z</dcterms:modified>
</cp:coreProperties>
</file>